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filterPrivacy="1" defaultThemeVersion="164011"/>
  <bookViews>
    <workbookView xWindow="9300" yWindow="0" windowWidth="28800" windowHeight="12795"/>
  </bookViews>
  <sheets>
    <sheet name="2016" sheetId="5" r:id="rId1"/>
    <sheet name="Sheet1" sheetId="6" r:id="rId2"/>
    <sheet name="Old v2 - 2016" sheetId="4" state="hidden" r:id="rId3"/>
    <sheet name="old - 2016" sheetId="2" state="hidden" r:id="rId4"/>
    <sheet name="2015" sheetId="3" state="hidden" r:id="rId5"/>
  </sheets>
  <definedNames>
    <definedName name="_xlnm.Print_Area" localSheetId="0">'2016'!$A$1:$M$45</definedName>
    <definedName name="_xlnm.Print_Area" localSheetId="3">'old - 2016'!$A$1:$R$57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5" l="1"/>
  <c r="J32" i="5" l="1"/>
  <c r="J28" i="5"/>
  <c r="J26" i="5"/>
  <c r="J33" i="5"/>
  <c r="J29" i="5"/>
  <c r="J24" i="5"/>
  <c r="J10" i="5"/>
  <c r="J16" i="5"/>
  <c r="J25" i="5"/>
  <c r="J11" i="5"/>
  <c r="J18" i="5"/>
  <c r="J20" i="5"/>
  <c r="J14" i="5"/>
  <c r="J22" i="5"/>
  <c r="J19" i="5"/>
  <c r="J15" i="5"/>
  <c r="J17" i="5"/>
  <c r="J13" i="5"/>
  <c r="J30" i="5"/>
  <c r="J12" i="5"/>
  <c r="J21" i="5"/>
  <c r="J31" i="5"/>
  <c r="J27" i="5"/>
  <c r="J34" i="5"/>
  <c r="I7" i="5"/>
  <c r="K32" i="5"/>
  <c r="K28" i="5"/>
  <c r="K26" i="5"/>
  <c r="K33" i="5"/>
  <c r="K29" i="5"/>
  <c r="K24" i="5"/>
  <c r="K10" i="5"/>
  <c r="K16" i="5"/>
  <c r="K25" i="5"/>
  <c r="K11" i="5"/>
  <c r="K18" i="5"/>
  <c r="K20" i="5"/>
  <c r="K14" i="5"/>
  <c r="K22" i="5"/>
  <c r="K19" i="5"/>
  <c r="K15" i="5"/>
  <c r="K17" i="5"/>
  <c r="K13" i="5"/>
  <c r="K30" i="5"/>
  <c r="K12" i="5"/>
  <c r="K21" i="5"/>
  <c r="K31" i="5"/>
  <c r="K27" i="5"/>
  <c r="K34" i="5"/>
  <c r="L45" i="5" l="1"/>
  <c r="L43" i="5"/>
  <c r="L42" i="5"/>
  <c r="L40" i="5"/>
  <c r="L39" i="5"/>
  <c r="L38" i="5"/>
  <c r="L37" i="5"/>
  <c r="L36" i="5"/>
  <c r="L10" i="5" l="1"/>
  <c r="L9" i="5"/>
  <c r="J23" i="5"/>
  <c r="F7" i="5" l="1"/>
  <c r="C7" i="5" l="1"/>
  <c r="M45" i="5" l="1"/>
  <c r="M43" i="5"/>
  <c r="M42" i="5"/>
  <c r="M40" i="5"/>
  <c r="M39" i="5"/>
  <c r="M38" i="5"/>
  <c r="M37" i="5"/>
  <c r="M36" i="5"/>
  <c r="K35" i="5"/>
  <c r="J35" i="5"/>
  <c r="J7" i="5" s="1"/>
  <c r="I35" i="5"/>
  <c r="H35" i="5"/>
  <c r="G35" i="5"/>
  <c r="F35" i="5"/>
  <c r="D35" i="5"/>
  <c r="C35" i="5"/>
  <c r="K23" i="5"/>
  <c r="I23" i="5"/>
  <c r="H23" i="5"/>
  <c r="L23" i="5" s="1"/>
  <c r="G23" i="5"/>
  <c r="F23" i="5"/>
  <c r="D23" i="5"/>
  <c r="C23" i="5"/>
  <c r="D7" i="5"/>
  <c r="H7" i="5" l="1"/>
  <c r="L7" i="5" s="1"/>
  <c r="L35" i="5"/>
  <c r="M23" i="5"/>
  <c r="K7" i="5"/>
  <c r="M35" i="5"/>
  <c r="G7" i="5"/>
  <c r="M41" i="5" s="1"/>
  <c r="M7" i="5" l="1"/>
  <c r="M34" i="5"/>
  <c r="L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2" i="5"/>
  <c r="L12" i="5"/>
  <c r="M11" i="5"/>
  <c r="L11" i="5"/>
  <c r="M10" i="5"/>
  <c r="M9" i="5"/>
  <c r="J41" i="4" l="1"/>
  <c r="I43" i="4" l="1"/>
  <c r="H43" i="4"/>
  <c r="K32" i="4"/>
  <c r="J32" i="4"/>
  <c r="I32" i="4"/>
  <c r="H32" i="4"/>
  <c r="G32" i="4"/>
  <c r="F32" i="4"/>
  <c r="K20" i="4"/>
  <c r="J20" i="4"/>
  <c r="I20" i="4"/>
  <c r="H20" i="4"/>
  <c r="G20" i="4"/>
  <c r="F20" i="4"/>
  <c r="L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M33" i="4"/>
  <c r="L34" i="4"/>
  <c r="M34" i="4"/>
  <c r="L36" i="4"/>
  <c r="M36" i="4"/>
  <c r="L37" i="4"/>
  <c r="M37" i="4"/>
  <c r="L38" i="4"/>
  <c r="L39" i="4"/>
  <c r="M39" i="4"/>
  <c r="L42" i="4"/>
  <c r="M42" i="4"/>
  <c r="L45" i="4"/>
  <c r="M45" i="4"/>
  <c r="L46" i="4"/>
  <c r="M46" i="4"/>
  <c r="M7" i="4"/>
  <c r="J33" i="4"/>
  <c r="L33" i="4" s="1"/>
  <c r="H33" i="4"/>
  <c r="D32" i="4"/>
  <c r="C32" i="4"/>
  <c r="D20" i="4"/>
  <c r="C20" i="4"/>
  <c r="L20" i="4" l="1"/>
  <c r="C43" i="4"/>
  <c r="M20" i="4"/>
  <c r="D43" i="4"/>
  <c r="L32" i="4"/>
  <c r="M32" i="4"/>
  <c r="F43" i="4"/>
  <c r="G43" i="4"/>
  <c r="K41" i="4"/>
  <c r="K43" i="4" s="1"/>
  <c r="J43" i="4"/>
  <c r="M47" i="2"/>
  <c r="L47" i="2"/>
  <c r="K47" i="2"/>
  <c r="M41" i="4" l="1"/>
  <c r="M43" i="4" s="1"/>
  <c r="L41" i="4"/>
  <c r="L43" i="4" s="1"/>
  <c r="Q30" i="2"/>
  <c r="M38" i="2" l="1"/>
  <c r="K38" i="2"/>
  <c r="M35" i="2"/>
  <c r="L20" i="2" l="1"/>
  <c r="M20" i="2" l="1"/>
  <c r="E32" i="2"/>
  <c r="F32" i="2"/>
  <c r="G32" i="2"/>
  <c r="H32" i="2"/>
  <c r="I32" i="2"/>
  <c r="J32" i="2"/>
  <c r="K32" i="2"/>
  <c r="L32" i="2"/>
  <c r="M32" i="2"/>
  <c r="M43" i="2" s="1"/>
  <c r="N32" i="2"/>
  <c r="C32" i="2"/>
  <c r="D32" i="2" s="1"/>
  <c r="E20" i="2"/>
  <c r="Q24" i="2" s="1"/>
  <c r="F20" i="2"/>
  <c r="G20" i="2"/>
  <c r="H20" i="2"/>
  <c r="I20" i="2"/>
  <c r="J20" i="2"/>
  <c r="K20" i="2"/>
  <c r="N20" i="2"/>
  <c r="C20" i="2"/>
  <c r="P24" i="2" s="1"/>
  <c r="C47" i="2" l="1"/>
  <c r="E47" i="2"/>
  <c r="N43" i="2"/>
  <c r="N47" i="2" s="1"/>
  <c r="F47" i="2"/>
  <c r="G47" i="2"/>
  <c r="J47" i="2"/>
  <c r="D20" i="2"/>
  <c r="I47" i="2"/>
  <c r="H47" i="2"/>
  <c r="D47" i="2" l="1"/>
</calcChain>
</file>

<file path=xl/comments1.xml><?xml version="1.0" encoding="utf-8"?>
<comments xmlns="http://schemas.openxmlformats.org/spreadsheetml/2006/main">
  <authors>
    <author>Author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Data from NCI - Joseph Chauncey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Customer Served by fund code - Infomaker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Need to search for Ashworth College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RMT Report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RMT Report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Web Report - CM Customer Served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Data from NCI - Joseph Chauncey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Customer Served by fund code - Infomaker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326 for Jacobs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Customer Served - Look under ETC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Need to search for Ashworth College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RMT Report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RMT Report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RMT Report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Report shows 139 add 
14 to Kenny Chin est.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AEL Report - Total Students (Total)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cust served fy15 and fy16 on 6.30.16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Custome Served Report - Web Report - All - Job Seekers / use board number include JS and employer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CC family info - excel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oct 1- june 13 - 808
About 90 per month X 3
increase due to academy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Reported monthly - Lisa Spadoni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WIT Ad-hoc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Data from NCI - Joseph Chauncey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Customer Served by fund code - Infomaker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Need to search for Ashworth College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RMT Report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Customer Served - Look under ETC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RMT Report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Report shows 139 add 
14 to Kenny Chin est.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oct 1- june 13 - 808
About 90 per month X 3
increase due to academy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RMT Report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AEL Report - Total Students (Total)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cust served fy15 and fy16 on 6.30.16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Custome Served Report - Web Report - All - Job Seekers / use board number include JS and employer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CC family info - excel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CC family info - excel</t>
        </r>
      </text>
    </comment>
  </commentList>
</comments>
</file>

<file path=xl/sharedStrings.xml><?xml version="1.0" encoding="utf-8"?>
<sst xmlns="http://schemas.openxmlformats.org/spreadsheetml/2006/main" count="205" uniqueCount="84">
  <si>
    <t>TRAFFIC, REGISTRATIONS AND FINANCIAL AID CUSTOMERS BY OFFICE</t>
  </si>
  <si>
    <t>Contractor</t>
  </si>
  <si>
    <t>Office</t>
  </si>
  <si>
    <t>Monthly Avg.</t>
  </si>
  <si>
    <t>Annual</t>
  </si>
  <si>
    <t>Interfaith Workforce Solutions</t>
  </si>
  <si>
    <t>Bay City</t>
  </si>
  <si>
    <t>Columbus</t>
  </si>
  <si>
    <t>Conroe</t>
  </si>
  <si>
    <t>Cypress Station</t>
  </si>
  <si>
    <t>Humble</t>
  </si>
  <si>
    <t>Huntsville</t>
  </si>
  <si>
    <t>Katy Mills</t>
  </si>
  <si>
    <t>Liberty</t>
  </si>
  <si>
    <t>Sealy</t>
  </si>
  <si>
    <t>Waller</t>
  </si>
  <si>
    <t>Westheimer</t>
  </si>
  <si>
    <t>Wharton</t>
  </si>
  <si>
    <t>Willowbrook</t>
  </si>
  <si>
    <t>IWS Total</t>
  </si>
  <si>
    <t>Neighborhood Centers Inc.</t>
  </si>
  <si>
    <t>Astrodome</t>
  </si>
  <si>
    <t>Baytown</t>
  </si>
  <si>
    <t>East End</t>
  </si>
  <si>
    <t>Lake Jackson</t>
  </si>
  <si>
    <t>Northeast</t>
  </si>
  <si>
    <t>Northline</t>
  </si>
  <si>
    <t>Northshore</t>
  </si>
  <si>
    <t>Rosenberg</t>
  </si>
  <si>
    <t>Southeast</t>
  </si>
  <si>
    <t>Southwest</t>
  </si>
  <si>
    <t>Texas City</t>
  </si>
  <si>
    <t>NCI Total</t>
  </si>
  <si>
    <t>ETC</t>
  </si>
  <si>
    <t>SER</t>
  </si>
  <si>
    <t>WORKFORCE SOLUTIONS 2016 PROPOSED OPERATIONS</t>
  </si>
  <si>
    <t>Annual Estimate</t>
  </si>
  <si>
    <t>Total Customers</t>
  </si>
  <si>
    <t>Financial Aid</t>
  </si>
  <si>
    <t>Office Traffic</t>
  </si>
  <si>
    <t>Adult Education</t>
  </si>
  <si>
    <t>WorkinTexas Services Only</t>
  </si>
  <si>
    <t>Families Receiving Child Care Assistance</t>
  </si>
  <si>
    <t>Better Educated Workforce</t>
  </si>
  <si>
    <t>Jacobs</t>
  </si>
  <si>
    <t>LDI</t>
  </si>
  <si>
    <t>DESI Demo Project</t>
  </si>
  <si>
    <t>DESI</t>
  </si>
  <si>
    <t>New WorkInTexas Registrations</t>
  </si>
  <si>
    <t>Gulf Coast Trades</t>
  </si>
  <si>
    <t>~Additional Information~</t>
  </si>
  <si>
    <t>Navigator and Facilitators</t>
  </si>
  <si>
    <t>Note: *Financial Aid Total is unduplicated Individuals. Some customers received services from multiple offices.</t>
  </si>
  <si>
    <t>Total Children in Care</t>
  </si>
  <si>
    <t>*System Total:</t>
  </si>
  <si>
    <t>Avg mtly traffic 2016</t>
  </si>
  <si>
    <t>Avg mtly traffic 2015</t>
  </si>
  <si>
    <t>WorkinTexas Service Only</t>
  </si>
  <si>
    <t>Interfaith</t>
  </si>
  <si>
    <t>Expanded Service</t>
  </si>
  <si>
    <t>Total Service</t>
  </si>
  <si>
    <t>WORKFORCE SOLUTIONS 2016</t>
  </si>
  <si>
    <t>CUSTOMER ACTIVITY</t>
  </si>
  <si>
    <t>WorkInTexas</t>
  </si>
  <si>
    <t>System Totals</t>
  </si>
  <si>
    <t>Employer Service</t>
  </si>
  <si>
    <t>Total</t>
  </si>
  <si>
    <t>Neighborhood Centers</t>
  </si>
  <si>
    <t>Demonstration</t>
  </si>
  <si>
    <t>Youth</t>
  </si>
  <si>
    <t>WorkInTexas Only</t>
  </si>
  <si>
    <t>Families Receiving Child Care Financial Aid</t>
  </si>
  <si>
    <t>Staff Training</t>
  </si>
  <si>
    <t>Collected month by Lisa Spadoni</t>
  </si>
  <si>
    <t>WorkinTexas</t>
  </si>
  <si>
    <t>Offices - WIT Ad-Hoc - WIT Registartions</t>
  </si>
  <si>
    <t>Employers - Employers served on RMT</t>
  </si>
  <si>
    <t>Office - Management Summary Report - Supportove service</t>
  </si>
  <si>
    <t>Navigators - Jenny Johnson</t>
  </si>
  <si>
    <t>LDI - Tracey Short</t>
  </si>
  <si>
    <t>CC - Informaker</t>
  </si>
  <si>
    <t>AEL - Monthly Reports</t>
  </si>
  <si>
    <t>Office - Management Summary Report - (=Total - Supportove service)</t>
  </si>
  <si>
    <t>WIT Only - (=CM Service(Monthly) - WIT Registartions)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</si>
</sst>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w Cen MT"/>
      <family val="2"/>
    </font>
    <font>
      <b/>
      <sz val="18"/>
      <color theme="3"/>
      <name val="Calibri Light"/>
      <family val="2"/>
      <scheme val="maj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Tw Cen MT"/>
      <family val="2"/>
    </font>
    <font>
      <sz val="16"/>
      <color theme="1"/>
      <name val="Tw Cen MT"/>
      <family val="2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indexed="64"/>
      </bottom>
      <diagonal/>
    </border>
  </borders>
  <cellStyleXfs count="4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17" fillId="0" borderId="0" xfId="0" applyFont="1" applyAlignment="1"/>
    <xf numFmtId="0" fontId="17" fillId="0" borderId="0" xfId="0" applyFont="1" applyAlignment="1">
      <alignment vertical="center"/>
    </xf>
    <xf numFmtId="0" fontId="0" fillId="0" borderId="14" xfId="0" applyFont="1" applyBorder="1" applyAlignment="1"/>
    <xf numFmtId="0" fontId="0" fillId="0" borderId="15" xfId="0" applyFont="1" applyBorder="1" applyAlignment="1"/>
    <xf numFmtId="0" fontId="15" fillId="0" borderId="16" xfId="0" applyFont="1" applyBorder="1" applyAlignment="1">
      <alignment horizontal="right"/>
    </xf>
    <xf numFmtId="0" fontId="0" fillId="0" borderId="15" xfId="0" applyFill="1" applyBorder="1" applyAlignment="1">
      <alignment horizontal="left"/>
    </xf>
    <xf numFmtId="38" fontId="0" fillId="0" borderId="10" xfId="0" applyNumberFormat="1" applyFill="1" applyBorder="1" applyAlignment="1">
      <alignment horizontal="center"/>
    </xf>
    <xf numFmtId="0" fontId="0" fillId="0" borderId="0" xfId="0"/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left"/>
    </xf>
    <xf numFmtId="3" fontId="19" fillId="33" borderId="13" xfId="0" applyNumberFormat="1" applyFont="1" applyFill="1" applyBorder="1" applyAlignment="1">
      <alignment horizontal="center"/>
    </xf>
    <xf numFmtId="3" fontId="19" fillId="33" borderId="25" xfId="0" applyNumberFormat="1" applyFont="1" applyFill="1" applyBorder="1" applyAlignment="1">
      <alignment horizontal="center" vertical="center"/>
    </xf>
    <xf numFmtId="3" fontId="19" fillId="0" borderId="25" xfId="0" applyNumberFormat="1" applyFont="1" applyBorder="1" applyAlignment="1">
      <alignment horizontal="center" vertical="center"/>
    </xf>
    <xf numFmtId="3" fontId="19" fillId="0" borderId="26" xfId="0" applyNumberFormat="1" applyFont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/>
    </xf>
    <xf numFmtId="3" fontId="19" fillId="0" borderId="25" xfId="0" applyNumberFormat="1" applyFont="1" applyBorder="1" applyAlignment="1">
      <alignment horizontal="center"/>
    </xf>
    <xf numFmtId="3" fontId="19" fillId="0" borderId="26" xfId="0" applyNumberFormat="1" applyFont="1" applyBorder="1" applyAlignment="1">
      <alignment horizontal="center"/>
    </xf>
    <xf numFmtId="3" fontId="19" fillId="0" borderId="25" xfId="0" applyNumberFormat="1" applyFont="1" applyFill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/>
    </xf>
    <xf numFmtId="3" fontId="19" fillId="33" borderId="10" xfId="0" applyNumberFormat="1" applyFont="1" applyFill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3" fontId="19" fillId="0" borderId="27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3" fontId="19" fillId="0" borderId="10" xfId="0" applyNumberFormat="1" applyFont="1" applyFill="1" applyBorder="1" applyAlignment="1">
      <alignment horizontal="center" vertical="center"/>
    </xf>
    <xf numFmtId="3" fontId="19" fillId="0" borderId="12" xfId="0" applyNumberFormat="1" applyFont="1" applyBorder="1" applyAlignment="1">
      <alignment horizontal="center"/>
    </xf>
    <xf numFmtId="3" fontId="19" fillId="33" borderId="28" xfId="0" applyNumberFormat="1" applyFont="1" applyFill="1" applyBorder="1" applyAlignment="1">
      <alignment horizontal="center" vertical="center"/>
    </xf>
    <xf numFmtId="3" fontId="19" fillId="0" borderId="28" xfId="0" applyNumberFormat="1" applyFont="1" applyBorder="1" applyAlignment="1">
      <alignment horizontal="center"/>
    </xf>
    <xf numFmtId="3" fontId="19" fillId="0" borderId="29" xfId="0" applyNumberFormat="1" applyFont="1" applyBorder="1" applyAlignment="1">
      <alignment horizontal="center"/>
    </xf>
    <xf numFmtId="3" fontId="19" fillId="0" borderId="13" xfId="0" applyNumberFormat="1" applyFont="1" applyBorder="1" applyAlignment="1">
      <alignment horizontal="center" vertical="center"/>
    </xf>
    <xf numFmtId="3" fontId="19" fillId="33" borderId="11" xfId="0" applyNumberFormat="1" applyFont="1" applyFill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25" xfId="0" applyFont="1" applyFill="1" applyBorder="1" applyAlignment="1">
      <alignment horizontal="center" vertical="center"/>
    </xf>
    <xf numFmtId="0" fontId="19" fillId="34" borderId="26" xfId="0" applyFont="1" applyFill="1" applyBorder="1" applyAlignment="1">
      <alignment horizontal="center" vertical="center"/>
    </xf>
    <xf numFmtId="3" fontId="19" fillId="34" borderId="13" xfId="0" applyNumberFormat="1" applyFont="1" applyFill="1" applyBorder="1" applyAlignment="1">
      <alignment horizontal="center" vertical="center"/>
    </xf>
    <xf numFmtId="3" fontId="19" fillId="34" borderId="25" xfId="0" applyNumberFormat="1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34" borderId="11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27" xfId="0" applyFont="1" applyFill="1" applyBorder="1" applyAlignment="1">
      <alignment horizontal="center" vertical="center"/>
    </xf>
    <xf numFmtId="3" fontId="19" fillId="34" borderId="11" xfId="0" applyNumberFormat="1" applyFont="1" applyFill="1" applyBorder="1" applyAlignment="1">
      <alignment horizontal="center" vertical="center"/>
    </xf>
    <xf numFmtId="3" fontId="19" fillId="34" borderId="10" xfId="0" applyNumberFormat="1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/>
    </xf>
    <xf numFmtId="0" fontId="19" fillId="0" borderId="31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3" fontId="19" fillId="34" borderId="27" xfId="0" applyNumberFormat="1" applyFont="1" applyFill="1" applyBorder="1" applyAlignment="1">
      <alignment horizontal="center"/>
    </xf>
    <xf numFmtId="0" fontId="0" fillId="0" borderId="0" xfId="0" quotePrefix="1"/>
    <xf numFmtId="3" fontId="19" fillId="0" borderId="10" xfId="0" quotePrefix="1" applyNumberFormat="1" applyFont="1" applyFill="1" applyBorder="1" applyAlignment="1">
      <alignment horizontal="center" vertical="center"/>
    </xf>
    <xf numFmtId="3" fontId="19" fillId="34" borderId="10" xfId="0" applyNumberFormat="1" applyFont="1" applyFill="1" applyBorder="1" applyAlignment="1">
      <alignment horizontal="center"/>
    </xf>
    <xf numFmtId="3" fontId="19" fillId="0" borderId="27" xfId="0" applyNumberFormat="1" applyFont="1" applyFill="1" applyBorder="1" applyAlignment="1">
      <alignment horizontal="center"/>
    </xf>
    <xf numFmtId="3" fontId="19" fillId="0" borderId="25" xfId="0" applyNumberFormat="1" applyFont="1" applyFill="1" applyBorder="1" applyAlignment="1">
      <alignment horizontal="center"/>
    </xf>
    <xf numFmtId="3" fontId="19" fillId="0" borderId="10" xfId="0" applyNumberFormat="1" applyFont="1" applyFill="1" applyBorder="1" applyAlignment="1">
      <alignment horizontal="center"/>
    </xf>
    <xf numFmtId="3" fontId="19" fillId="0" borderId="28" xfId="0" applyNumberFormat="1" applyFont="1" applyFill="1" applyBorder="1" applyAlignment="1">
      <alignment horizontal="center"/>
    </xf>
    <xf numFmtId="38" fontId="19" fillId="0" borderId="25" xfId="0" applyNumberFormat="1" applyFont="1" applyFill="1" applyBorder="1" applyAlignment="1">
      <alignment horizontal="center"/>
    </xf>
    <xf numFmtId="38" fontId="19" fillId="0" borderId="10" xfId="0" applyNumberFormat="1" applyFont="1" applyFill="1" applyBorder="1" applyAlignment="1">
      <alignment horizontal="center"/>
    </xf>
    <xf numFmtId="3" fontId="19" fillId="0" borderId="30" xfId="0" applyNumberFormat="1" applyFont="1" applyFill="1" applyBorder="1" applyAlignment="1">
      <alignment horizontal="center"/>
    </xf>
    <xf numFmtId="3" fontId="19" fillId="0" borderId="33" xfId="0" applyNumberFormat="1" applyFont="1" applyFill="1" applyBorder="1" applyAlignment="1">
      <alignment horizontal="center"/>
    </xf>
    <xf numFmtId="3" fontId="19" fillId="0" borderId="31" xfId="0" applyNumberFormat="1" applyFont="1" applyFill="1" applyBorder="1" applyAlignment="1">
      <alignment horizontal="center"/>
    </xf>
    <xf numFmtId="0" fontId="19" fillId="34" borderId="35" xfId="0" applyFont="1" applyFill="1" applyBorder="1" applyAlignment="1">
      <alignment horizontal="center" vertical="center"/>
    </xf>
    <xf numFmtId="0" fontId="19" fillId="34" borderId="36" xfId="0" applyFont="1" applyFill="1" applyBorder="1" applyAlignment="1">
      <alignment horizontal="center" vertical="center"/>
    </xf>
    <xf numFmtId="0" fontId="19" fillId="34" borderId="37" xfId="0" applyFont="1" applyFill="1" applyBorder="1" applyAlignment="1">
      <alignment horizontal="center" vertical="center"/>
    </xf>
    <xf numFmtId="3" fontId="19" fillId="34" borderId="35" xfId="0" applyNumberFormat="1" applyFont="1" applyFill="1" applyBorder="1" applyAlignment="1">
      <alignment horizontal="center" vertical="center"/>
    </xf>
    <xf numFmtId="3" fontId="19" fillId="34" borderId="36" xfId="0" applyNumberFormat="1" applyFont="1" applyFill="1" applyBorder="1" applyAlignment="1">
      <alignment horizontal="center" vertical="center"/>
    </xf>
    <xf numFmtId="3" fontId="19" fillId="0" borderId="26" xfId="0" applyNumberFormat="1" applyFont="1" applyFill="1" applyBorder="1" applyAlignment="1">
      <alignment horizontal="center"/>
    </xf>
    <xf numFmtId="3" fontId="19" fillId="0" borderId="29" xfId="0" applyNumberFormat="1" applyFont="1" applyFill="1" applyBorder="1" applyAlignment="1">
      <alignment horizontal="center"/>
    </xf>
    <xf numFmtId="10" fontId="19" fillId="0" borderId="0" xfId="43" applyNumberFormat="1" applyFont="1" applyFill="1" applyBorder="1" applyAlignment="1">
      <alignment horizontal="center"/>
    </xf>
    <xf numFmtId="9" fontId="0" fillId="0" borderId="0" xfId="43" applyFont="1"/>
    <xf numFmtId="3" fontId="19" fillId="34" borderId="14" xfId="0" applyNumberFormat="1" applyFont="1" applyFill="1" applyBorder="1" applyAlignment="1">
      <alignment horizontal="center" vertical="center"/>
    </xf>
    <xf numFmtId="3" fontId="19" fillId="34" borderId="40" xfId="0" applyNumberFormat="1" applyFont="1" applyFill="1" applyBorder="1" applyAlignment="1">
      <alignment horizontal="center" vertical="center"/>
    </xf>
    <xf numFmtId="3" fontId="19" fillId="34" borderId="15" xfId="0" applyNumberFormat="1" applyFont="1" applyFill="1" applyBorder="1" applyAlignment="1">
      <alignment horizontal="center" vertical="center"/>
    </xf>
    <xf numFmtId="3" fontId="19" fillId="0" borderId="41" xfId="0" applyNumberFormat="1" applyFont="1" applyFill="1" applyBorder="1" applyAlignment="1">
      <alignment horizontal="center"/>
    </xf>
    <xf numFmtId="3" fontId="19" fillId="0" borderId="38" xfId="0" applyNumberFormat="1" applyFont="1" applyFill="1" applyBorder="1" applyAlignment="1">
      <alignment horizontal="center"/>
    </xf>
    <xf numFmtId="3" fontId="19" fillId="0" borderId="39" xfId="0" applyNumberFormat="1" applyFont="1" applyFill="1" applyBorder="1" applyAlignment="1">
      <alignment horizontal="center"/>
    </xf>
    <xf numFmtId="3" fontId="19" fillId="0" borderId="42" xfId="0" applyNumberFormat="1" applyFont="1" applyBorder="1" applyAlignment="1">
      <alignment horizontal="center"/>
    </xf>
    <xf numFmtId="3" fontId="19" fillId="0" borderId="13" xfId="0" applyNumberFormat="1" applyFont="1" applyFill="1" applyBorder="1" applyAlignment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/>
    </xf>
    <xf numFmtId="3" fontId="19" fillId="0" borderId="11" xfId="0" quotePrefix="1" applyNumberFormat="1" applyFont="1" applyFill="1" applyBorder="1" applyAlignment="1">
      <alignment horizontal="center" vertical="center"/>
    </xf>
    <xf numFmtId="164" fontId="0" fillId="0" borderId="0" xfId="42" applyNumberFormat="1" applyFont="1"/>
    <xf numFmtId="0" fontId="15" fillId="0" borderId="43" xfId="0" applyFont="1" applyBorder="1" applyAlignment="1">
      <alignment horizontal="right"/>
    </xf>
    <xf numFmtId="164" fontId="19" fillId="0" borderId="42" xfId="42" applyNumberFormat="1" applyFont="1" applyFill="1" applyBorder="1" applyAlignment="1">
      <alignment horizontal="center" vertical="center"/>
    </xf>
    <xf numFmtId="164" fontId="19" fillId="0" borderId="42" xfId="42" applyNumberFormat="1" applyFont="1" applyFill="1" applyBorder="1" applyAlignment="1">
      <alignment horizontal="center"/>
    </xf>
    <xf numFmtId="0" fontId="0" fillId="0" borderId="0" xfId="0" applyFill="1"/>
    <xf numFmtId="1" fontId="0" fillId="0" borderId="0" xfId="43" applyNumberFormat="1" applyFont="1"/>
    <xf numFmtId="3" fontId="19" fillId="0" borderId="35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3" fontId="19" fillId="33" borderId="13" xfId="0" applyNumberFormat="1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29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/>
    </xf>
    <xf numFmtId="0" fontId="19" fillId="0" borderId="22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3" fontId="19" fillId="0" borderId="13" xfId="0" applyNumberFormat="1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center"/>
    </xf>
    <xf numFmtId="3" fontId="19" fillId="0" borderId="35" xfId="0" applyNumberFormat="1" applyFont="1" applyFill="1" applyBorder="1" applyAlignment="1">
      <alignment horizontal="center"/>
    </xf>
    <xf numFmtId="38" fontId="19" fillId="0" borderId="37" xfId="0" applyNumberFormat="1" applyFont="1" applyFill="1" applyBorder="1" applyAlignment="1">
      <alignment horizontal="center"/>
    </xf>
    <xf numFmtId="38" fontId="19" fillId="0" borderId="27" xfId="0" applyNumberFormat="1" applyFont="1" applyFill="1" applyBorder="1" applyAlignment="1">
      <alignment horizontal="center"/>
    </xf>
    <xf numFmtId="3" fontId="19" fillId="0" borderId="27" xfId="0" applyNumberFormat="1" applyFont="1" applyFill="1" applyBorder="1" applyAlignment="1">
      <alignment horizontal="center" vertical="center"/>
    </xf>
    <xf numFmtId="3" fontId="19" fillId="34" borderId="27" xfId="0" applyNumberFormat="1" applyFont="1" applyFill="1" applyBorder="1" applyAlignment="1">
      <alignment horizontal="center" vertical="center"/>
    </xf>
    <xf numFmtId="3" fontId="19" fillId="0" borderId="12" xfId="0" applyNumberFormat="1" applyFont="1" applyFill="1" applyBorder="1" applyAlignment="1">
      <alignment horizontal="center" vertical="center"/>
    </xf>
    <xf numFmtId="3" fontId="19" fillId="0" borderId="29" xfId="0" applyNumberFormat="1" applyFont="1" applyFill="1" applyBorder="1" applyAlignment="1">
      <alignment horizontal="center" vertical="center"/>
    </xf>
    <xf numFmtId="3" fontId="19" fillId="0" borderId="35" xfId="0" applyNumberFormat="1" applyFont="1" applyBorder="1" applyAlignment="1">
      <alignment horizontal="center"/>
    </xf>
    <xf numFmtId="3" fontId="19" fillId="34" borderId="12" xfId="0" applyNumberFormat="1" applyFont="1" applyFill="1" applyBorder="1" applyAlignment="1">
      <alignment horizontal="center" vertical="center"/>
    </xf>
    <xf numFmtId="3" fontId="19" fillId="34" borderId="29" xfId="0" applyNumberFormat="1" applyFont="1" applyFill="1" applyBorder="1" applyAlignment="1">
      <alignment horizontal="center" vertical="center"/>
    </xf>
    <xf numFmtId="3" fontId="19" fillId="0" borderId="37" xfId="0" applyNumberFormat="1" applyFont="1" applyFill="1" applyBorder="1" applyAlignment="1">
      <alignment horizontal="center"/>
    </xf>
    <xf numFmtId="3" fontId="19" fillId="34" borderId="26" xfId="0" applyNumberFormat="1" applyFont="1" applyFill="1" applyBorder="1" applyAlignment="1">
      <alignment horizontal="center" vertical="center"/>
    </xf>
    <xf numFmtId="3" fontId="19" fillId="0" borderId="26" xfId="0" applyNumberFormat="1" applyFont="1" applyFill="1" applyBorder="1" applyAlignment="1">
      <alignment horizontal="center" vertical="center"/>
    </xf>
    <xf numFmtId="3" fontId="19" fillId="34" borderId="16" xfId="0" applyNumberFormat="1" applyFont="1" applyFill="1" applyBorder="1" applyAlignment="1">
      <alignment horizontal="center" vertical="center"/>
    </xf>
    <xf numFmtId="3" fontId="19" fillId="34" borderId="16" xfId="0" applyNumberFormat="1" applyFont="1" applyFill="1" applyBorder="1" applyAlignment="1">
      <alignment horizontal="center"/>
    </xf>
    <xf numFmtId="3" fontId="19" fillId="0" borderId="12" xfId="0" quotePrefix="1" applyNumberFormat="1" applyFont="1" applyFill="1" applyBorder="1" applyAlignment="1">
      <alignment horizontal="center" vertical="center"/>
    </xf>
    <xf numFmtId="3" fontId="22" fillId="0" borderId="12" xfId="0" applyNumberFormat="1" applyFont="1" applyBorder="1" applyAlignment="1">
      <alignment horizontal="center"/>
    </xf>
    <xf numFmtId="3" fontId="22" fillId="0" borderId="29" xfId="0" applyNumberFormat="1" applyFont="1" applyBorder="1" applyAlignment="1">
      <alignment horizontal="center"/>
    </xf>
    <xf numFmtId="3" fontId="22" fillId="0" borderId="12" xfId="0" applyNumberFormat="1" applyFont="1" applyFill="1" applyBorder="1" applyAlignment="1">
      <alignment horizontal="center"/>
    </xf>
    <xf numFmtId="3" fontId="22" fillId="0" borderId="29" xfId="0" applyNumberFormat="1" applyFont="1" applyFill="1" applyBorder="1" applyAlignment="1">
      <alignment horizontal="center"/>
    </xf>
    <xf numFmtId="3" fontId="22" fillId="0" borderId="47" xfId="0" applyNumberFormat="1" applyFont="1" applyBorder="1" applyAlignment="1">
      <alignment horizontal="center"/>
    </xf>
    <xf numFmtId="3" fontId="22" fillId="0" borderId="39" xfId="0" applyNumberFormat="1" applyFont="1" applyBorder="1" applyAlignment="1">
      <alignment horizontal="center"/>
    </xf>
    <xf numFmtId="3" fontId="22" fillId="0" borderId="47" xfId="0" applyNumberFormat="1" applyFont="1" applyFill="1" applyBorder="1" applyAlignment="1">
      <alignment horizontal="center"/>
    </xf>
    <xf numFmtId="3" fontId="22" fillId="0" borderId="39" xfId="0" applyNumberFormat="1" applyFont="1" applyFill="1" applyBorder="1" applyAlignment="1">
      <alignment horizontal="center"/>
    </xf>
    <xf numFmtId="3" fontId="22" fillId="0" borderId="50" xfId="0" applyNumberFormat="1" applyFont="1" applyBorder="1" applyAlignment="1">
      <alignment horizontal="center"/>
    </xf>
    <xf numFmtId="3" fontId="22" fillId="0" borderId="46" xfId="0" applyNumberFormat="1" applyFont="1" applyBorder="1" applyAlignment="1">
      <alignment horizontal="center"/>
    </xf>
    <xf numFmtId="3" fontId="22" fillId="0" borderId="42" xfId="0" applyNumberFormat="1" applyFont="1" applyBorder="1" applyAlignment="1">
      <alignment horizontal="center"/>
    </xf>
    <xf numFmtId="0" fontId="19" fillId="0" borderId="0" xfId="0" applyFont="1"/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14" xfId="0" applyFont="1" applyBorder="1" applyAlignment="1"/>
    <xf numFmtId="9" fontId="19" fillId="0" borderId="0" xfId="43" applyFont="1"/>
    <xf numFmtId="0" fontId="19" fillId="0" borderId="15" xfId="0" applyFont="1" applyBorder="1" applyAlignment="1"/>
    <xf numFmtId="0" fontId="22" fillId="0" borderId="16" xfId="0" applyFont="1" applyBorder="1" applyAlignment="1">
      <alignment horizontal="right"/>
    </xf>
    <xf numFmtId="0" fontId="19" fillId="0" borderId="14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1" fontId="19" fillId="0" borderId="0" xfId="43" applyNumberFormat="1" applyFont="1"/>
    <xf numFmtId="164" fontId="19" fillId="0" borderId="0" xfId="42" applyNumberFormat="1" applyFont="1"/>
    <xf numFmtId="0" fontId="22" fillId="0" borderId="45" xfId="0" applyFont="1" applyBorder="1" applyAlignment="1">
      <alignment horizontal="right"/>
    </xf>
    <xf numFmtId="3" fontId="19" fillId="0" borderId="30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0" fontId="22" fillId="0" borderId="43" xfId="0" applyFont="1" applyBorder="1" applyAlignment="1">
      <alignment horizontal="right"/>
    </xf>
    <xf numFmtId="3" fontId="19" fillId="0" borderId="16" xfId="0" applyNumberFormat="1" applyFont="1" applyFill="1" applyBorder="1" applyAlignment="1">
      <alignment horizontal="center" vertical="center"/>
    </xf>
    <xf numFmtId="3" fontId="19" fillId="34" borderId="14" xfId="0" applyNumberFormat="1" applyFont="1" applyFill="1" applyBorder="1" applyAlignment="1">
      <alignment horizontal="center"/>
    </xf>
    <xf numFmtId="3" fontId="19" fillId="0" borderId="13" xfId="0" quotePrefix="1" applyNumberFormat="1" applyFont="1" applyFill="1" applyBorder="1" applyAlignment="1">
      <alignment horizontal="center" vertical="center"/>
    </xf>
    <xf numFmtId="37" fontId="22" fillId="0" borderId="50" xfId="42" applyNumberFormat="1" applyFont="1" applyFill="1" applyBorder="1" applyAlignment="1">
      <alignment horizontal="center" vertical="center"/>
    </xf>
    <xf numFmtId="37" fontId="22" fillId="0" borderId="46" xfId="42" applyNumberFormat="1" applyFont="1" applyFill="1" applyBorder="1" applyAlignment="1">
      <alignment horizontal="center"/>
    </xf>
    <xf numFmtId="0" fontId="19" fillId="0" borderId="0" xfId="0" applyFont="1" applyBorder="1"/>
    <xf numFmtId="0" fontId="19" fillId="0" borderId="60" xfId="0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center" vertical="center" wrapText="1"/>
    </xf>
    <xf numFmtId="0" fontId="19" fillId="0" borderId="62" xfId="0" applyFont="1" applyBorder="1"/>
    <xf numFmtId="0" fontId="19" fillId="0" borderId="1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left" vertical="center" wrapText="1"/>
    </xf>
    <xf numFmtId="0" fontId="19" fillId="34" borderId="79" xfId="0" applyFont="1" applyFill="1" applyBorder="1" applyAlignment="1">
      <alignment horizontal="center" vertical="center" wrapText="1"/>
    </xf>
    <xf numFmtId="0" fontId="19" fillId="34" borderId="80" xfId="0" applyFont="1" applyFill="1" applyBorder="1" applyAlignment="1">
      <alignment horizontal="center" vertical="center" wrapText="1"/>
    </xf>
    <xf numFmtId="3" fontId="22" fillId="0" borderId="23" xfId="0" applyNumberFormat="1" applyFont="1" applyFill="1" applyBorder="1" applyAlignment="1">
      <alignment horizontal="center" vertical="center"/>
    </xf>
    <xf numFmtId="3" fontId="22" fillId="0" borderId="22" xfId="0" applyNumberFormat="1" applyFont="1" applyFill="1" applyBorder="1" applyAlignment="1">
      <alignment horizontal="center" vertical="center"/>
    </xf>
    <xf numFmtId="3" fontId="19" fillId="0" borderId="0" xfId="0" applyNumberFormat="1" applyFont="1" applyBorder="1"/>
    <xf numFmtId="3" fontId="19" fillId="0" borderId="0" xfId="0" applyNumberFormat="1" applyFont="1"/>
    <xf numFmtId="0" fontId="19" fillId="0" borderId="19" xfId="0" applyFont="1" applyBorder="1" applyAlignment="1"/>
    <xf numFmtId="9" fontId="19" fillId="0" borderId="0" xfId="43" applyFont="1" applyBorder="1"/>
    <xf numFmtId="0" fontId="19" fillId="0" borderId="20" xfId="0" applyFont="1" applyBorder="1" applyAlignment="1"/>
    <xf numFmtId="0" fontId="22" fillId="0" borderId="76" xfId="0" applyFont="1" applyBorder="1" applyAlignment="1">
      <alignment horizontal="right"/>
    </xf>
    <xf numFmtId="3" fontId="22" fillId="0" borderId="28" xfId="0" applyNumberFormat="1" applyFont="1" applyFill="1" applyBorder="1" applyAlignment="1">
      <alignment horizontal="center"/>
    </xf>
    <xf numFmtId="3" fontId="22" fillId="0" borderId="16" xfId="0" applyNumberFormat="1" applyFont="1" applyFill="1" applyBorder="1" applyAlignment="1">
      <alignment horizontal="center"/>
    </xf>
    <xf numFmtId="0" fontId="19" fillId="0" borderId="19" xfId="0" applyFont="1" applyFill="1" applyBorder="1" applyAlignment="1">
      <alignment horizontal="left"/>
    </xf>
    <xf numFmtId="0" fontId="19" fillId="0" borderId="86" xfId="0" applyFont="1" applyFill="1" applyBorder="1" applyAlignment="1">
      <alignment horizontal="left"/>
    </xf>
    <xf numFmtId="0" fontId="19" fillId="0" borderId="20" xfId="0" applyFont="1" applyFill="1" applyBorder="1" applyAlignment="1">
      <alignment horizontal="left"/>
    </xf>
    <xf numFmtId="1" fontId="19" fillId="0" borderId="0" xfId="43" applyNumberFormat="1" applyFont="1" applyBorder="1"/>
    <xf numFmtId="164" fontId="19" fillId="0" borderId="0" xfId="42" applyNumberFormat="1" applyFont="1" applyBorder="1"/>
    <xf numFmtId="0" fontId="19" fillId="33" borderId="19" xfId="0" applyFont="1" applyFill="1" applyBorder="1" applyAlignment="1">
      <alignment horizontal="center" vertical="center" wrapText="1"/>
    </xf>
    <xf numFmtId="3" fontId="22" fillId="0" borderId="36" xfId="0" applyNumberFormat="1" applyFont="1" applyFill="1" applyBorder="1" applyAlignment="1">
      <alignment horizontal="center" vertical="center"/>
    </xf>
    <xf numFmtId="3" fontId="22" fillId="0" borderId="10" xfId="0" applyNumberFormat="1" applyFont="1" applyFill="1" applyBorder="1" applyAlignment="1">
      <alignment horizontal="center" vertical="center"/>
    </xf>
    <xf numFmtId="0" fontId="19" fillId="33" borderId="95" xfId="0" applyFont="1" applyFill="1" applyBorder="1" applyAlignment="1">
      <alignment horizontal="center" vertical="center" wrapText="1"/>
    </xf>
    <xf numFmtId="3" fontId="19" fillId="34" borderId="67" xfId="0" applyNumberFormat="1" applyFont="1" applyFill="1" applyBorder="1" applyAlignment="1">
      <alignment horizontal="center" vertical="center"/>
    </xf>
    <xf numFmtId="3" fontId="19" fillId="34" borderId="67" xfId="0" applyNumberFormat="1" applyFont="1" applyFill="1" applyBorder="1" applyAlignment="1">
      <alignment horizontal="center"/>
    </xf>
    <xf numFmtId="3" fontId="22" fillId="0" borderId="67" xfId="0" quotePrefix="1" applyNumberFormat="1" applyFont="1" applyFill="1" applyBorder="1" applyAlignment="1">
      <alignment horizontal="center" vertical="center"/>
    </xf>
    <xf numFmtId="3" fontId="22" fillId="0" borderId="68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3" fontId="19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/>
    </xf>
    <xf numFmtId="3" fontId="19" fillId="0" borderId="0" xfId="0" quotePrefix="1" applyNumberFormat="1" applyFont="1" applyFill="1" applyBorder="1" applyAlignment="1">
      <alignment horizontal="center" vertical="center"/>
    </xf>
    <xf numFmtId="0" fontId="19" fillId="0" borderId="102" xfId="0" applyFont="1" applyFill="1" applyBorder="1" applyAlignment="1">
      <alignment horizontal="center" wrapText="1"/>
    </xf>
    <xf numFmtId="0" fontId="19" fillId="0" borderId="103" xfId="0" applyFont="1" applyFill="1" applyBorder="1" applyAlignment="1">
      <alignment horizontal="center" wrapText="1"/>
    </xf>
    <xf numFmtId="3" fontId="22" fillId="0" borderId="104" xfId="0" applyNumberFormat="1" applyFont="1" applyFill="1" applyBorder="1" applyAlignment="1">
      <alignment horizontal="center"/>
    </xf>
    <xf numFmtId="0" fontId="19" fillId="0" borderId="65" xfId="0" applyFont="1" applyFill="1" applyBorder="1" applyAlignment="1">
      <alignment horizontal="center" vertical="center" wrapText="1"/>
    </xf>
    <xf numFmtId="0" fontId="19" fillId="0" borderId="6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0" borderId="92" xfId="0" applyFont="1" applyBorder="1" applyAlignment="1">
      <alignment horizontal="center" vertical="center" wrapText="1"/>
    </xf>
    <xf numFmtId="0" fontId="19" fillId="0" borderId="106" xfId="0" applyFont="1" applyBorder="1" applyAlignment="1">
      <alignment horizontal="center" vertical="center" wrapText="1"/>
    </xf>
    <xf numFmtId="0" fontId="19" fillId="33" borderId="92" xfId="0" applyFont="1" applyFill="1" applyBorder="1" applyAlignment="1">
      <alignment horizontal="center" vertical="center" wrapText="1"/>
    </xf>
    <xf numFmtId="3" fontId="25" fillId="0" borderId="63" xfId="0" applyNumberFormat="1" applyFont="1" applyFill="1" applyBorder="1" applyAlignment="1">
      <alignment horizontal="center" vertical="center" wrapText="1"/>
    </xf>
    <xf numFmtId="3" fontId="25" fillId="0" borderId="71" xfId="0" applyNumberFormat="1" applyFont="1" applyFill="1" applyBorder="1" applyAlignment="1">
      <alignment horizontal="center" vertical="center" wrapText="1"/>
    </xf>
    <xf numFmtId="0" fontId="25" fillId="0" borderId="62" xfId="0" applyFont="1" applyFill="1" applyBorder="1"/>
    <xf numFmtId="3" fontId="25" fillId="0" borderId="72" xfId="0" applyNumberFormat="1" applyFont="1" applyFill="1" applyBorder="1" applyAlignment="1">
      <alignment horizontal="center" vertical="center" wrapText="1"/>
    </xf>
    <xf numFmtId="3" fontId="25" fillId="0" borderId="73" xfId="0" applyNumberFormat="1" applyFont="1" applyFill="1" applyBorder="1" applyAlignment="1">
      <alignment horizontal="center" vertical="center" wrapText="1"/>
    </xf>
    <xf numFmtId="3" fontId="22" fillId="0" borderId="79" xfId="0" applyNumberFormat="1" applyFont="1" applyFill="1" applyBorder="1" applyAlignment="1">
      <alignment horizontal="center"/>
    </xf>
    <xf numFmtId="3" fontId="22" fillId="0" borderId="23" xfId="0" applyNumberFormat="1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 vertical="center" wrapText="1"/>
    </xf>
    <xf numFmtId="3" fontId="22" fillId="0" borderId="21" xfId="0" applyNumberFormat="1" applyFont="1" applyFill="1" applyBorder="1" applyAlignment="1">
      <alignment horizontal="center" vertical="center" wrapText="1"/>
    </xf>
    <xf numFmtId="3" fontId="22" fillId="0" borderId="80" xfId="0" applyNumberFormat="1" applyFont="1" applyFill="1" applyBorder="1" applyAlignment="1">
      <alignment horizontal="center" vertical="center" wrapText="1"/>
    </xf>
    <xf numFmtId="3" fontId="19" fillId="0" borderId="81" xfId="0" applyNumberFormat="1" applyFont="1" applyFill="1" applyBorder="1" applyAlignment="1">
      <alignment horizontal="center"/>
    </xf>
    <xf numFmtId="3" fontId="19" fillId="0" borderId="14" xfId="0" applyNumberFormat="1" applyFont="1" applyFill="1" applyBorder="1" applyAlignment="1">
      <alignment horizontal="center" vertical="center"/>
    </xf>
    <xf numFmtId="3" fontId="19" fillId="0" borderId="82" xfId="0" applyNumberFormat="1" applyFont="1" applyFill="1" applyBorder="1" applyAlignment="1">
      <alignment horizontal="center"/>
    </xf>
    <xf numFmtId="3" fontId="19" fillId="0" borderId="60" xfId="0" applyNumberFormat="1" applyFont="1" applyFill="1" applyBorder="1" applyAlignment="1">
      <alignment horizontal="center"/>
    </xf>
    <xf numFmtId="3" fontId="19" fillId="0" borderId="15" xfId="0" applyNumberFormat="1" applyFont="1" applyFill="1" applyBorder="1" applyAlignment="1">
      <alignment horizontal="center" vertical="center"/>
    </xf>
    <xf numFmtId="3" fontId="19" fillId="0" borderId="61" xfId="0" applyNumberFormat="1" applyFont="1" applyFill="1" applyBorder="1" applyAlignment="1">
      <alignment horizontal="center"/>
    </xf>
    <xf numFmtId="3" fontId="22" fillId="0" borderId="85" xfId="0" applyNumberFormat="1" applyFont="1" applyFill="1" applyBorder="1" applyAlignment="1">
      <alignment horizontal="center"/>
    </xf>
    <xf numFmtId="3" fontId="22" fillId="0" borderId="84" xfId="0" applyNumberFormat="1" applyFont="1" applyFill="1" applyBorder="1" applyAlignment="1">
      <alignment horizontal="center"/>
    </xf>
    <xf numFmtId="3" fontId="19" fillId="0" borderId="14" xfId="0" applyNumberFormat="1" applyFont="1" applyFill="1" applyBorder="1" applyAlignment="1">
      <alignment horizontal="center"/>
    </xf>
    <xf numFmtId="3" fontId="19" fillId="0" borderId="15" xfId="0" applyNumberFormat="1" applyFont="1" applyFill="1" applyBorder="1" applyAlignment="1">
      <alignment horizontal="center"/>
    </xf>
    <xf numFmtId="3" fontId="19" fillId="0" borderId="81" xfId="0" applyNumberFormat="1" applyFont="1" applyFill="1" applyBorder="1" applyAlignment="1">
      <alignment horizontal="center" vertical="center"/>
    </xf>
    <xf numFmtId="3" fontId="19" fillId="0" borderId="82" xfId="0" applyNumberFormat="1" applyFont="1" applyFill="1" applyBorder="1" applyAlignment="1">
      <alignment horizontal="center" vertical="center"/>
    </xf>
    <xf numFmtId="3" fontId="19" fillId="0" borderId="60" xfId="0" applyNumberFormat="1" applyFont="1" applyFill="1" applyBorder="1" applyAlignment="1">
      <alignment horizontal="center" vertical="center"/>
    </xf>
    <xf numFmtId="3" fontId="19" fillId="0" borderId="61" xfId="0" applyNumberFormat="1" applyFont="1" applyFill="1" applyBorder="1" applyAlignment="1">
      <alignment horizontal="center" vertical="center"/>
    </xf>
    <xf numFmtId="3" fontId="22" fillId="0" borderId="83" xfId="0" applyNumberFormat="1" applyFont="1" applyFill="1" applyBorder="1" applyAlignment="1">
      <alignment horizontal="center"/>
    </xf>
    <xf numFmtId="3" fontId="19" fillId="0" borderId="87" xfId="0" applyNumberFormat="1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/>
    </xf>
    <xf numFmtId="3" fontId="22" fillId="0" borderId="13" xfId="0" applyNumberFormat="1" applyFont="1" applyFill="1" applyBorder="1" applyAlignment="1">
      <alignment horizontal="center"/>
    </xf>
    <xf numFmtId="3" fontId="22" fillId="0" borderId="91" xfId="0" applyNumberFormat="1" applyFont="1" applyFill="1" applyBorder="1" applyAlignment="1">
      <alignment horizontal="center"/>
    </xf>
    <xf numFmtId="3" fontId="22" fillId="0" borderId="15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61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3" fontId="22" fillId="0" borderId="69" xfId="0" applyNumberFormat="1" applyFont="1" applyFill="1" applyBorder="1" applyAlignment="1">
      <alignment horizontal="center"/>
    </xf>
    <xf numFmtId="3" fontId="22" fillId="0" borderId="66" xfId="0" applyNumberFormat="1" applyFont="1" applyFill="1" applyBorder="1" applyAlignment="1">
      <alignment horizontal="center"/>
    </xf>
    <xf numFmtId="3" fontId="22" fillId="0" borderId="105" xfId="0" applyNumberFormat="1" applyFont="1" applyFill="1" applyBorder="1" applyAlignment="1">
      <alignment horizontal="center"/>
    </xf>
    <xf numFmtId="3" fontId="22" fillId="0" borderId="104" xfId="0" quotePrefix="1" applyNumberFormat="1" applyFont="1" applyFill="1" applyBorder="1" applyAlignment="1">
      <alignment horizontal="center" vertical="center"/>
    </xf>
    <xf numFmtId="3" fontId="22" fillId="0" borderId="1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33" borderId="10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9" fillId="33" borderId="107" xfId="0" applyFont="1" applyFill="1" applyBorder="1" applyAlignment="1">
      <alignment horizontal="center" wrapText="1"/>
    </xf>
    <xf numFmtId="0" fontId="19" fillId="33" borderId="20" xfId="0" applyFont="1" applyFill="1" applyBorder="1" applyAlignment="1">
      <alignment horizontal="center" wrapText="1"/>
    </xf>
    <xf numFmtId="0" fontId="19" fillId="0" borderId="108" xfId="0" applyFont="1" applyFill="1" applyBorder="1" applyAlignment="1">
      <alignment horizontal="center" wrapText="1"/>
    </xf>
    <xf numFmtId="0" fontId="19" fillId="0" borderId="98" xfId="0" applyFont="1" applyFill="1" applyBorder="1" applyAlignment="1">
      <alignment horizontal="center" wrapText="1"/>
    </xf>
    <xf numFmtId="0" fontId="19" fillId="34" borderId="103" xfId="0" applyFont="1" applyFill="1" applyBorder="1" applyAlignment="1">
      <alignment horizontal="center" vertical="center"/>
    </xf>
    <xf numFmtId="0" fontId="0" fillId="34" borderId="103" xfId="0" applyFill="1" applyBorder="1" applyAlignment="1"/>
    <xf numFmtId="3" fontId="19" fillId="34" borderId="88" xfId="0" applyNumberFormat="1" applyFont="1" applyFill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34" borderId="59" xfId="0" applyFill="1" applyBorder="1" applyAlignment="1">
      <alignment horizontal="center"/>
    </xf>
    <xf numFmtId="0" fontId="0" fillId="34" borderId="96" xfId="0" applyFill="1" applyBorder="1" applyAlignment="1">
      <alignment horizontal="center"/>
    </xf>
    <xf numFmtId="0" fontId="0" fillId="34" borderId="40" xfId="0" applyFill="1" applyBorder="1" applyAlignment="1">
      <alignment horizontal="center"/>
    </xf>
    <xf numFmtId="0" fontId="0" fillId="34" borderId="97" xfId="0" applyFill="1" applyBorder="1" applyAlignment="1">
      <alignment horizontal="center"/>
    </xf>
    <xf numFmtId="0" fontId="25" fillId="0" borderId="9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 wrapText="1"/>
    </xf>
    <xf numFmtId="0" fontId="19" fillId="0" borderId="92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0" fontId="19" fillId="33" borderId="88" xfId="0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19" fillId="34" borderId="88" xfId="0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wrapText="1"/>
    </xf>
    <xf numFmtId="0" fontId="22" fillId="33" borderId="44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19" fillId="0" borderId="0" xfId="0" applyFont="1" applyAlignment="1">
      <alignment horizontal="left"/>
    </xf>
    <xf numFmtId="0" fontId="19" fillId="0" borderId="13" xfId="0" applyFont="1" applyFill="1" applyBorder="1" applyAlignment="1">
      <alignment horizontal="center" wrapText="1"/>
    </xf>
    <xf numFmtId="0" fontId="19" fillId="0" borderId="14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6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3" borderId="14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 applyAlignment="1">
      <alignment horizontal="right" wrapText="1"/>
    </xf>
    <xf numFmtId="0" fontId="15" fillId="33" borderId="18" xfId="0" applyFont="1" applyFill="1" applyBorder="1" applyAlignment="1">
      <alignment horizontal="center" wrapText="1"/>
    </xf>
    <xf numFmtId="0" fontId="15" fillId="33" borderId="20" xfId="0" applyFont="1" applyFill="1" applyBorder="1" applyAlignment="1">
      <alignment horizontal="center" wrapText="1"/>
    </xf>
    <xf numFmtId="0" fontId="15" fillId="33" borderId="34" xfId="0" applyFont="1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  <xf numFmtId="0" fontId="0" fillId="33" borderId="19" xfId="0" applyFill="1" applyBorder="1" applyAlignment="1">
      <alignment horizontal="center" wrapText="1"/>
    </xf>
    <xf numFmtId="0" fontId="0" fillId="33" borderId="18" xfId="0" applyFill="1" applyBorder="1" applyAlignment="1">
      <alignment horizontal="center" wrapText="1"/>
    </xf>
    <xf numFmtId="0" fontId="0" fillId="33" borderId="20" xfId="0" applyFill="1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34" xfId="0" applyFill="1" applyBorder="1" applyAlignment="1">
      <alignment horizontal="center" wrapText="1"/>
    </xf>
    <xf numFmtId="0" fontId="0" fillId="0" borderId="0" xfId="0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0" fillId="33" borderId="18" xfId="0" applyFill="1" applyBorder="1" applyAlignment="1">
      <alignment horizontal="center"/>
    </xf>
    <xf numFmtId="0" fontId="0" fillId="33" borderId="34" xfId="0" applyFill="1" applyBorder="1" applyAlignment="1">
      <alignment horizontal="center"/>
    </xf>
    <xf numFmtId="0" fontId="0" fillId="33" borderId="10" xfId="0" applyFont="1" applyFill="1" applyBorder="1" applyAlignment="1">
      <alignment horizontal="center" wrapText="1"/>
    </xf>
    <xf numFmtId="0" fontId="19" fillId="0" borderId="3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Percent" xfId="43" builtinId="5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8734425</xdr:colOff>
      <xdr:row>1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734425" cy="520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zoomScale="80" zoomScaleNormal="80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R36" sqref="R36"/>
    </sheetView>
  </sheetViews>
  <sheetFormatPr defaultRowHeight="15.75" x14ac:dyDescent="0.25"/>
  <cols>
    <col min="1" max="1" width="26.7109375" style="132" customWidth="1"/>
    <col min="2" max="2" width="21.5703125" style="132" customWidth="1"/>
    <col min="3" max="4" width="15.5703125" style="132" bestFit="1" customWidth="1"/>
    <col min="5" max="5" width="2.140625" style="132" customWidth="1"/>
    <col min="6" max="7" width="12.5703125" style="132" bestFit="1" customWidth="1"/>
    <col min="8" max="9" width="13.28515625" style="132" bestFit="1" customWidth="1"/>
    <col min="10" max="11" width="12.5703125" style="132" bestFit="1" customWidth="1"/>
    <col min="12" max="12" width="13" style="132" bestFit="1" customWidth="1"/>
    <col min="13" max="13" width="12.5703125" style="132" bestFit="1" customWidth="1"/>
    <col min="14" max="15" width="9" style="132" customWidth="1"/>
    <col min="16" max="16384" width="9.140625" style="132"/>
  </cols>
  <sheetData>
    <row r="1" spans="1:16" ht="20.25" x14ac:dyDescent="0.3">
      <c r="A1" s="279" t="s">
        <v>61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6" ht="20.25" x14ac:dyDescent="0.25">
      <c r="A2" s="280" t="s">
        <v>62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6" ht="16.5" thickBot="1" x14ac:dyDescent="0.3">
      <c r="A3" s="133"/>
      <c r="B3" s="133"/>
      <c r="C3" s="133"/>
      <c r="D3" s="133"/>
      <c r="E3" s="133"/>
      <c r="F3" s="133"/>
      <c r="G3" s="133"/>
      <c r="H3" s="133"/>
      <c r="I3" s="133"/>
      <c r="J3" s="133"/>
    </row>
    <row r="4" spans="1:16" ht="16.5" thickTop="1" x14ac:dyDescent="0.25">
      <c r="A4" s="281" t="s">
        <v>1</v>
      </c>
      <c r="B4" s="284" t="s">
        <v>2</v>
      </c>
      <c r="C4" s="287" t="s">
        <v>39</v>
      </c>
      <c r="D4" s="288"/>
      <c r="E4" s="155"/>
      <c r="F4" s="289" t="s">
        <v>63</v>
      </c>
      <c r="G4" s="290"/>
      <c r="H4" s="290" t="s">
        <v>38</v>
      </c>
      <c r="I4" s="290"/>
      <c r="J4" s="290" t="s">
        <v>59</v>
      </c>
      <c r="K4" s="291"/>
      <c r="L4" s="292" t="s">
        <v>60</v>
      </c>
      <c r="M4" s="293"/>
      <c r="N4" s="152"/>
      <c r="O4" s="152"/>
    </row>
    <row r="5" spans="1:16" x14ac:dyDescent="0.25">
      <c r="A5" s="282"/>
      <c r="B5" s="285"/>
      <c r="C5" s="153">
        <v>2016</v>
      </c>
      <c r="D5" s="154">
        <v>2015</v>
      </c>
      <c r="E5" s="155"/>
      <c r="F5" s="153">
        <v>2016</v>
      </c>
      <c r="G5" s="156">
        <v>2015</v>
      </c>
      <c r="H5" s="156">
        <v>2016</v>
      </c>
      <c r="I5" s="156">
        <v>2015</v>
      </c>
      <c r="J5" s="156">
        <v>2016</v>
      </c>
      <c r="K5" s="157">
        <v>2015</v>
      </c>
      <c r="L5" s="158">
        <v>2016</v>
      </c>
      <c r="M5" s="154">
        <v>2015</v>
      </c>
      <c r="N5" s="152"/>
      <c r="O5" s="152"/>
    </row>
    <row r="6" spans="1:16" ht="16.5" thickBot="1" x14ac:dyDescent="0.3">
      <c r="A6" s="283"/>
      <c r="B6" s="286"/>
      <c r="C6" s="159" t="s">
        <v>4</v>
      </c>
      <c r="D6" s="160" t="s">
        <v>4</v>
      </c>
      <c r="E6" s="155"/>
      <c r="F6" s="204" t="s">
        <v>4</v>
      </c>
      <c r="G6" s="205" t="s">
        <v>4</v>
      </c>
      <c r="H6" s="161" t="s">
        <v>4</v>
      </c>
      <c r="I6" s="161" t="s">
        <v>4</v>
      </c>
      <c r="J6" s="161" t="s">
        <v>4</v>
      </c>
      <c r="K6" s="162" t="s">
        <v>4</v>
      </c>
      <c r="L6" s="163" t="s">
        <v>4</v>
      </c>
      <c r="M6" s="160" t="s">
        <v>4</v>
      </c>
      <c r="N6" s="152"/>
      <c r="O6" s="152"/>
    </row>
    <row r="7" spans="1:16" ht="20.25" thickTop="1" thickBot="1" x14ac:dyDescent="0.35">
      <c r="A7" s="268" t="s">
        <v>64</v>
      </c>
      <c r="B7" s="269"/>
      <c r="C7" s="211">
        <f>C23+C35</f>
        <v>2465650</v>
      </c>
      <c r="D7" s="212">
        <f>D23+D35</f>
        <v>2427648</v>
      </c>
      <c r="E7" s="213"/>
      <c r="F7" s="211">
        <f>F23+F35+F9</f>
        <v>215996</v>
      </c>
      <c r="G7" s="214">
        <f>G23+G35+G9</f>
        <v>199916</v>
      </c>
      <c r="H7" s="214">
        <f>H9+H23+H35+H36+H37+H38+H39+H40+H42</f>
        <v>67126</v>
      </c>
      <c r="I7" s="214">
        <f>I9+I23+I35+I36+I37+I38+I39+I40+I42</f>
        <v>82266</v>
      </c>
      <c r="J7" s="214">
        <f>J9+J23+J35+J36+J37+J38+J43</f>
        <v>44398</v>
      </c>
      <c r="K7" s="214">
        <f>K9+K23+K35+K36+K37+K38+K43</f>
        <v>33377</v>
      </c>
      <c r="L7" s="215">
        <f>J7+H7+F7+L41</f>
        <v>441927</v>
      </c>
      <c r="M7" s="212">
        <f>K7+I7+G7+M41</f>
        <v>452168</v>
      </c>
      <c r="N7" s="152"/>
      <c r="O7" s="152"/>
    </row>
    <row r="8" spans="1:16" s="152" customFormat="1" ht="17.25" thickTop="1" thickBot="1" x14ac:dyDescent="0.3">
      <c r="A8" s="208"/>
      <c r="B8" s="206"/>
      <c r="C8" s="164"/>
      <c r="D8" s="165"/>
      <c r="E8" s="155"/>
      <c r="F8" s="164"/>
      <c r="G8" s="166"/>
      <c r="H8" s="166"/>
      <c r="I8" s="166"/>
      <c r="J8" s="166"/>
      <c r="K8" s="167"/>
      <c r="L8" s="168"/>
      <c r="M8" s="165"/>
    </row>
    <row r="9" spans="1:16" ht="16.5" thickBot="1" x14ac:dyDescent="0.3">
      <c r="A9" s="209" t="s">
        <v>33</v>
      </c>
      <c r="B9" s="169" t="s">
        <v>65</v>
      </c>
      <c r="C9" s="170"/>
      <c r="D9" s="171"/>
      <c r="E9" s="155"/>
      <c r="F9" s="216">
        <v>23591</v>
      </c>
      <c r="G9" s="217">
        <v>27292</v>
      </c>
      <c r="H9" s="218">
        <v>666</v>
      </c>
      <c r="I9" s="218">
        <v>510</v>
      </c>
      <c r="J9" s="172">
        <v>1480</v>
      </c>
      <c r="K9" s="173">
        <v>1188</v>
      </c>
      <c r="L9" s="219">
        <f>F9+H9+J9</f>
        <v>25737</v>
      </c>
      <c r="M9" s="220">
        <f>G9+I9+K9</f>
        <v>28990</v>
      </c>
      <c r="N9" s="152"/>
      <c r="O9" s="174"/>
      <c r="P9" s="175"/>
    </row>
    <row r="10" spans="1:16" x14ac:dyDescent="0.25">
      <c r="A10" s="270" t="s">
        <v>58</v>
      </c>
      <c r="B10" s="176" t="s">
        <v>6</v>
      </c>
      <c r="C10" s="231">
        <v>45866</v>
      </c>
      <c r="D10" s="232">
        <v>44890</v>
      </c>
      <c r="E10" s="155"/>
      <c r="F10" s="221">
        <v>1447</v>
      </c>
      <c r="G10" s="61">
        <v>1445</v>
      </c>
      <c r="H10" s="61">
        <v>55</v>
      </c>
      <c r="I10" s="61">
        <v>251</v>
      </c>
      <c r="J10" s="22">
        <f>366-H10</f>
        <v>311</v>
      </c>
      <c r="K10" s="222">
        <f>515-I10</f>
        <v>264</v>
      </c>
      <c r="L10" s="103">
        <f>F10+H10+J10</f>
        <v>1813</v>
      </c>
      <c r="M10" s="223">
        <f>G10+I10+K10</f>
        <v>1960</v>
      </c>
      <c r="N10" s="177"/>
      <c r="O10" s="174"/>
      <c r="P10" s="175"/>
    </row>
    <row r="11" spans="1:16" x14ac:dyDescent="0.25">
      <c r="A11" s="271"/>
      <c r="B11" s="178" t="s">
        <v>7</v>
      </c>
      <c r="C11" s="233">
        <v>13531</v>
      </c>
      <c r="D11" s="234">
        <v>13211</v>
      </c>
      <c r="E11" s="155"/>
      <c r="F11" s="224">
        <v>719</v>
      </c>
      <c r="G11" s="62">
        <v>555</v>
      </c>
      <c r="H11" s="62">
        <v>1</v>
      </c>
      <c r="I11" s="62">
        <v>16</v>
      </c>
      <c r="J11" s="29">
        <f>107-H11</f>
        <v>106</v>
      </c>
      <c r="K11" s="225">
        <f>108-I11</f>
        <v>92</v>
      </c>
      <c r="L11" s="104">
        <f t="shared" ref="L11:M34" si="0">F11+H11+J11</f>
        <v>826</v>
      </c>
      <c r="M11" s="226">
        <f t="shared" si="0"/>
        <v>663</v>
      </c>
      <c r="N11" s="177"/>
      <c r="O11" s="174"/>
      <c r="P11" s="175"/>
    </row>
    <row r="12" spans="1:16" x14ac:dyDescent="0.25">
      <c r="A12" s="271"/>
      <c r="B12" s="178" t="s">
        <v>8</v>
      </c>
      <c r="C12" s="233">
        <v>92559</v>
      </c>
      <c r="D12" s="234">
        <v>86684</v>
      </c>
      <c r="E12" s="155"/>
      <c r="F12" s="224">
        <v>9700</v>
      </c>
      <c r="G12" s="62">
        <v>8835</v>
      </c>
      <c r="H12" s="62">
        <v>498</v>
      </c>
      <c r="I12" s="62">
        <v>1329</v>
      </c>
      <c r="J12" s="29">
        <f>2351-H12</f>
        <v>1853</v>
      </c>
      <c r="K12" s="225">
        <f>2242-I12</f>
        <v>913</v>
      </c>
      <c r="L12" s="104">
        <f t="shared" si="0"/>
        <v>12051</v>
      </c>
      <c r="M12" s="226">
        <f t="shared" si="0"/>
        <v>11077</v>
      </c>
      <c r="N12" s="177"/>
      <c r="O12" s="174"/>
      <c r="P12" s="175"/>
    </row>
    <row r="13" spans="1:16" x14ac:dyDescent="0.25">
      <c r="A13" s="271"/>
      <c r="B13" s="178" t="s">
        <v>9</v>
      </c>
      <c r="C13" s="233">
        <v>227191</v>
      </c>
      <c r="D13" s="234">
        <v>225744</v>
      </c>
      <c r="E13" s="155"/>
      <c r="F13" s="224">
        <v>19813</v>
      </c>
      <c r="G13" s="62">
        <v>17920</v>
      </c>
      <c r="H13" s="62">
        <v>900</v>
      </c>
      <c r="I13" s="62">
        <v>3220</v>
      </c>
      <c r="J13" s="29">
        <f>3356-H13</f>
        <v>2456</v>
      </c>
      <c r="K13" s="225">
        <f>5157-I13</f>
        <v>1937</v>
      </c>
      <c r="L13" s="104">
        <f t="shared" si="0"/>
        <v>23169</v>
      </c>
      <c r="M13" s="226">
        <f t="shared" si="0"/>
        <v>23077</v>
      </c>
      <c r="N13" s="177"/>
      <c r="O13" s="174"/>
      <c r="P13" s="175"/>
    </row>
    <row r="14" spans="1:16" x14ac:dyDescent="0.25">
      <c r="A14" s="271"/>
      <c r="B14" s="178" t="s">
        <v>10</v>
      </c>
      <c r="C14" s="233">
        <v>130086</v>
      </c>
      <c r="D14" s="234">
        <v>124438</v>
      </c>
      <c r="E14" s="155"/>
      <c r="F14" s="224">
        <v>8579</v>
      </c>
      <c r="G14" s="62">
        <v>7631</v>
      </c>
      <c r="H14" s="62">
        <v>503</v>
      </c>
      <c r="I14" s="62">
        <v>1434</v>
      </c>
      <c r="J14" s="29">
        <f>1935-H14</f>
        <v>1432</v>
      </c>
      <c r="K14" s="225">
        <f>2637-I14</f>
        <v>1203</v>
      </c>
      <c r="L14" s="104">
        <f t="shared" si="0"/>
        <v>10514</v>
      </c>
      <c r="M14" s="226">
        <f t="shared" si="0"/>
        <v>10268</v>
      </c>
      <c r="N14" s="177"/>
      <c r="O14" s="174"/>
      <c r="P14" s="175"/>
    </row>
    <row r="15" spans="1:16" x14ac:dyDescent="0.25">
      <c r="A15" s="271"/>
      <c r="B15" s="178" t="s">
        <v>11</v>
      </c>
      <c r="C15" s="233">
        <v>31086</v>
      </c>
      <c r="D15" s="234">
        <v>31997</v>
      </c>
      <c r="E15" s="155"/>
      <c r="F15" s="224">
        <v>1594</v>
      </c>
      <c r="G15" s="62">
        <v>1837</v>
      </c>
      <c r="H15" s="62">
        <v>365</v>
      </c>
      <c r="I15" s="62">
        <v>729</v>
      </c>
      <c r="J15" s="29">
        <f>669-H15</f>
        <v>304</v>
      </c>
      <c r="K15" s="225">
        <f>935-I15</f>
        <v>206</v>
      </c>
      <c r="L15" s="104">
        <f t="shared" si="0"/>
        <v>2263</v>
      </c>
      <c r="M15" s="226">
        <f t="shared" si="0"/>
        <v>2772</v>
      </c>
      <c r="N15" s="177"/>
      <c r="O15" s="174"/>
      <c r="P15" s="175"/>
    </row>
    <row r="16" spans="1:16" x14ac:dyDescent="0.25">
      <c r="A16" s="271"/>
      <c r="B16" s="178" t="s">
        <v>12</v>
      </c>
      <c r="C16" s="233">
        <v>39781</v>
      </c>
      <c r="D16" s="234">
        <v>34505</v>
      </c>
      <c r="E16" s="155"/>
      <c r="F16" s="224">
        <v>294</v>
      </c>
      <c r="G16" s="62">
        <v>184</v>
      </c>
      <c r="H16" s="62">
        <v>121</v>
      </c>
      <c r="I16" s="62">
        <v>141</v>
      </c>
      <c r="J16" s="29">
        <f>711-H16</f>
        <v>590</v>
      </c>
      <c r="K16" s="225">
        <f>602-I16</f>
        <v>461</v>
      </c>
      <c r="L16" s="104">
        <f t="shared" si="0"/>
        <v>1005</v>
      </c>
      <c r="M16" s="226">
        <f t="shared" si="0"/>
        <v>786</v>
      </c>
      <c r="N16" s="177"/>
      <c r="O16" s="174"/>
      <c r="P16" s="175"/>
    </row>
    <row r="17" spans="1:16" x14ac:dyDescent="0.25">
      <c r="A17" s="271"/>
      <c r="B17" s="178" t="s">
        <v>13</v>
      </c>
      <c r="C17" s="233">
        <v>32130</v>
      </c>
      <c r="D17" s="234">
        <v>31526</v>
      </c>
      <c r="E17" s="155"/>
      <c r="F17" s="224">
        <v>2546</v>
      </c>
      <c r="G17" s="62">
        <v>2374</v>
      </c>
      <c r="H17" s="62">
        <v>84</v>
      </c>
      <c r="I17" s="62">
        <v>197</v>
      </c>
      <c r="J17" s="29">
        <f>504-H17</f>
        <v>420</v>
      </c>
      <c r="K17" s="225">
        <f>496-I17</f>
        <v>299</v>
      </c>
      <c r="L17" s="104">
        <f t="shared" si="0"/>
        <v>3050</v>
      </c>
      <c r="M17" s="226">
        <f t="shared" si="0"/>
        <v>2870</v>
      </c>
      <c r="N17" s="177"/>
      <c r="O17" s="174"/>
      <c r="P17" s="175"/>
    </row>
    <row r="18" spans="1:16" x14ac:dyDescent="0.25">
      <c r="A18" s="271"/>
      <c r="B18" s="178" t="s">
        <v>14</v>
      </c>
      <c r="C18" s="233">
        <v>15267</v>
      </c>
      <c r="D18" s="234">
        <v>15067</v>
      </c>
      <c r="E18" s="155"/>
      <c r="F18" s="224">
        <v>1199</v>
      </c>
      <c r="G18" s="62">
        <v>1041</v>
      </c>
      <c r="H18" s="62">
        <v>13</v>
      </c>
      <c r="I18" s="62">
        <v>56</v>
      </c>
      <c r="J18" s="29">
        <f>140-H18</f>
        <v>127</v>
      </c>
      <c r="K18" s="225">
        <f>160-I18</f>
        <v>104</v>
      </c>
      <c r="L18" s="104">
        <f t="shared" si="0"/>
        <v>1339</v>
      </c>
      <c r="M18" s="226">
        <f t="shared" si="0"/>
        <v>1201</v>
      </c>
      <c r="N18" s="177"/>
      <c r="O18" s="174"/>
      <c r="P18" s="175"/>
    </row>
    <row r="19" spans="1:16" x14ac:dyDescent="0.25">
      <c r="A19" s="271"/>
      <c r="B19" s="178" t="s">
        <v>15</v>
      </c>
      <c r="C19" s="233">
        <v>17500</v>
      </c>
      <c r="D19" s="234">
        <v>16916</v>
      </c>
      <c r="E19" s="155"/>
      <c r="F19" s="224">
        <v>5707</v>
      </c>
      <c r="G19" s="62">
        <v>4681</v>
      </c>
      <c r="H19" s="62">
        <v>49</v>
      </c>
      <c r="I19" s="62">
        <v>65</v>
      </c>
      <c r="J19" s="29">
        <f>415-H19</f>
        <v>366</v>
      </c>
      <c r="K19" s="225">
        <f>340-I19</f>
        <v>275</v>
      </c>
      <c r="L19" s="104">
        <f t="shared" si="0"/>
        <v>6122</v>
      </c>
      <c r="M19" s="226">
        <f t="shared" si="0"/>
        <v>5021</v>
      </c>
      <c r="N19" s="177"/>
      <c r="O19" s="174"/>
      <c r="P19" s="175"/>
    </row>
    <row r="20" spans="1:16" x14ac:dyDescent="0.25">
      <c r="A20" s="271"/>
      <c r="B20" s="178" t="s">
        <v>16</v>
      </c>
      <c r="C20" s="233">
        <v>149024</v>
      </c>
      <c r="D20" s="234">
        <v>150248</v>
      </c>
      <c r="E20" s="155"/>
      <c r="F20" s="224">
        <v>11929</v>
      </c>
      <c r="G20" s="62">
        <v>10302</v>
      </c>
      <c r="H20" s="62">
        <v>929</v>
      </c>
      <c r="I20" s="62">
        <v>1774</v>
      </c>
      <c r="J20" s="29">
        <f>2653-H20</f>
        <v>1724</v>
      </c>
      <c r="K20" s="225">
        <f>3447-I20</f>
        <v>1673</v>
      </c>
      <c r="L20" s="104">
        <f t="shared" si="0"/>
        <v>14582</v>
      </c>
      <c r="M20" s="226">
        <f t="shared" si="0"/>
        <v>13749</v>
      </c>
      <c r="N20" s="177"/>
      <c r="O20" s="174"/>
      <c r="P20" s="175"/>
    </row>
    <row r="21" spans="1:16" x14ac:dyDescent="0.25">
      <c r="A21" s="271"/>
      <c r="B21" s="178" t="s">
        <v>17</v>
      </c>
      <c r="C21" s="233">
        <v>40772</v>
      </c>
      <c r="D21" s="234">
        <v>39291</v>
      </c>
      <c r="E21" s="155"/>
      <c r="F21" s="224">
        <v>1553</v>
      </c>
      <c r="G21" s="62">
        <v>1310</v>
      </c>
      <c r="H21" s="62">
        <v>67</v>
      </c>
      <c r="I21" s="62">
        <v>276</v>
      </c>
      <c r="J21" s="29">
        <f>326-H21</f>
        <v>259</v>
      </c>
      <c r="K21" s="225">
        <f>466-I21</f>
        <v>190</v>
      </c>
      <c r="L21" s="104">
        <f t="shared" si="0"/>
        <v>1879</v>
      </c>
      <c r="M21" s="226">
        <f t="shared" si="0"/>
        <v>1776</v>
      </c>
      <c r="N21" s="177"/>
      <c r="O21" s="174"/>
      <c r="P21" s="175"/>
    </row>
    <row r="22" spans="1:16" x14ac:dyDescent="0.25">
      <c r="A22" s="271"/>
      <c r="B22" s="178" t="s">
        <v>18</v>
      </c>
      <c r="C22" s="233">
        <v>79689</v>
      </c>
      <c r="D22" s="234">
        <v>69920</v>
      </c>
      <c r="E22" s="155"/>
      <c r="F22" s="224">
        <v>12727</v>
      </c>
      <c r="G22" s="62">
        <v>10695</v>
      </c>
      <c r="H22" s="62">
        <v>155</v>
      </c>
      <c r="I22" s="62">
        <v>410</v>
      </c>
      <c r="J22" s="29">
        <f>808-H22</f>
        <v>653</v>
      </c>
      <c r="K22" s="225">
        <f>851-I22</f>
        <v>441</v>
      </c>
      <c r="L22" s="104">
        <f t="shared" si="0"/>
        <v>13535</v>
      </c>
      <c r="M22" s="226">
        <f t="shared" si="0"/>
        <v>11546</v>
      </c>
      <c r="N22" s="177"/>
      <c r="O22" s="174"/>
      <c r="P22" s="175"/>
    </row>
    <row r="23" spans="1:16" ht="16.5" thickBot="1" x14ac:dyDescent="0.3">
      <c r="A23" s="272"/>
      <c r="B23" s="179" t="s">
        <v>66</v>
      </c>
      <c r="C23" s="235">
        <f>SUM(C10:C22)</f>
        <v>914482</v>
      </c>
      <c r="D23" s="228">
        <f>SUM(D10:D22)</f>
        <v>884437</v>
      </c>
      <c r="E23" s="155"/>
      <c r="F23" s="227">
        <f t="shared" ref="F23:K23" si="1">SUM(F10:F22)</f>
        <v>77807</v>
      </c>
      <c r="G23" s="180">
        <f t="shared" si="1"/>
        <v>68810</v>
      </c>
      <c r="H23" s="180">
        <f t="shared" si="1"/>
        <v>3740</v>
      </c>
      <c r="I23" s="180">
        <f t="shared" si="1"/>
        <v>9898</v>
      </c>
      <c r="J23" s="180">
        <f>SUM(J10:J22)</f>
        <v>10601</v>
      </c>
      <c r="K23" s="181">
        <f t="shared" si="1"/>
        <v>8058</v>
      </c>
      <c r="L23" s="123">
        <f>F23+H23+J23</f>
        <v>92148</v>
      </c>
      <c r="M23" s="228">
        <f>G23+I23+K23</f>
        <v>86766</v>
      </c>
      <c r="N23" s="177"/>
      <c r="O23" s="174"/>
      <c r="P23" s="175"/>
    </row>
    <row r="24" spans="1:16" x14ac:dyDescent="0.25">
      <c r="A24" s="270" t="s">
        <v>67</v>
      </c>
      <c r="B24" s="182" t="s">
        <v>21</v>
      </c>
      <c r="C24" s="231">
        <v>189671</v>
      </c>
      <c r="D24" s="232">
        <v>201564</v>
      </c>
      <c r="E24" s="155"/>
      <c r="F24" s="221">
        <v>12674</v>
      </c>
      <c r="G24" s="61">
        <v>11454</v>
      </c>
      <c r="H24" s="61">
        <v>2501</v>
      </c>
      <c r="I24" s="64">
        <v>4270</v>
      </c>
      <c r="J24" s="22">
        <f>4463-H24</f>
        <v>1962</v>
      </c>
      <c r="K24" s="229">
        <f>6110-I24</f>
        <v>1840</v>
      </c>
      <c r="L24" s="103">
        <f t="shared" si="0"/>
        <v>17137</v>
      </c>
      <c r="M24" s="223">
        <f t="shared" si="0"/>
        <v>17564</v>
      </c>
      <c r="N24" s="177"/>
      <c r="O24" s="174"/>
      <c r="P24" s="175"/>
    </row>
    <row r="25" spans="1:16" x14ac:dyDescent="0.25">
      <c r="A25" s="271"/>
      <c r="B25" s="183" t="s">
        <v>22</v>
      </c>
      <c r="C25" s="236">
        <v>100778</v>
      </c>
      <c r="D25" s="234">
        <v>108991</v>
      </c>
      <c r="E25" s="155"/>
      <c r="F25" s="224">
        <v>6079</v>
      </c>
      <c r="G25" s="62">
        <v>5089</v>
      </c>
      <c r="H25" s="62">
        <v>729</v>
      </c>
      <c r="I25" s="65">
        <v>1769</v>
      </c>
      <c r="J25" s="29">
        <f>1832-H25</f>
        <v>1103</v>
      </c>
      <c r="K25" s="230">
        <f>2795-I25</f>
        <v>1026</v>
      </c>
      <c r="L25" s="104">
        <f t="shared" si="0"/>
        <v>7911</v>
      </c>
      <c r="M25" s="226">
        <f t="shared" si="0"/>
        <v>7884</v>
      </c>
      <c r="N25" s="177"/>
      <c r="O25" s="174"/>
      <c r="P25" s="175"/>
    </row>
    <row r="26" spans="1:16" x14ac:dyDescent="0.25">
      <c r="A26" s="271"/>
      <c r="B26" s="184" t="s">
        <v>23</v>
      </c>
      <c r="C26" s="233">
        <v>123311</v>
      </c>
      <c r="D26" s="234">
        <v>131162</v>
      </c>
      <c r="E26" s="155"/>
      <c r="F26" s="224">
        <v>5925</v>
      </c>
      <c r="G26" s="62">
        <v>5294</v>
      </c>
      <c r="H26" s="62">
        <v>1578</v>
      </c>
      <c r="I26" s="65">
        <v>3659</v>
      </c>
      <c r="J26" s="29">
        <f>2227-H26</f>
        <v>649</v>
      </c>
      <c r="K26" s="230">
        <f>4377-I26</f>
        <v>718</v>
      </c>
      <c r="L26" s="104">
        <f t="shared" si="0"/>
        <v>8152</v>
      </c>
      <c r="M26" s="226">
        <f t="shared" si="0"/>
        <v>9671</v>
      </c>
      <c r="N26" s="177"/>
      <c r="O26" s="174"/>
      <c r="P26" s="175"/>
    </row>
    <row r="27" spans="1:16" x14ac:dyDescent="0.25">
      <c r="A27" s="271"/>
      <c r="B27" s="184" t="s">
        <v>24</v>
      </c>
      <c r="C27" s="233">
        <v>64129</v>
      </c>
      <c r="D27" s="234">
        <v>66745</v>
      </c>
      <c r="E27" s="155"/>
      <c r="F27" s="224">
        <v>4110</v>
      </c>
      <c r="G27" s="62">
        <v>3627</v>
      </c>
      <c r="H27" s="62">
        <v>302</v>
      </c>
      <c r="I27" s="65">
        <v>988</v>
      </c>
      <c r="J27" s="29">
        <f>652-H27</f>
        <v>350</v>
      </c>
      <c r="K27" s="230">
        <f>1346-I27</f>
        <v>358</v>
      </c>
      <c r="L27" s="104">
        <f t="shared" si="0"/>
        <v>4762</v>
      </c>
      <c r="M27" s="226">
        <f t="shared" si="0"/>
        <v>4973</v>
      </c>
      <c r="N27" s="185"/>
      <c r="O27" s="174"/>
      <c r="P27" s="175"/>
    </row>
    <row r="28" spans="1:16" x14ac:dyDescent="0.25">
      <c r="A28" s="271"/>
      <c r="B28" s="184" t="s">
        <v>25</v>
      </c>
      <c r="C28" s="233">
        <v>90254</v>
      </c>
      <c r="D28" s="234">
        <v>84327</v>
      </c>
      <c r="E28" s="155"/>
      <c r="F28" s="224">
        <v>4062</v>
      </c>
      <c r="G28" s="62">
        <v>3666</v>
      </c>
      <c r="H28" s="62">
        <v>111</v>
      </c>
      <c r="I28" s="65">
        <v>302</v>
      </c>
      <c r="J28" s="29">
        <f>129-H28</f>
        <v>18</v>
      </c>
      <c r="K28" s="230">
        <f>359-I28</f>
        <v>57</v>
      </c>
      <c r="L28" s="104">
        <f t="shared" si="0"/>
        <v>4191</v>
      </c>
      <c r="M28" s="226">
        <f t="shared" si="0"/>
        <v>4025</v>
      </c>
      <c r="N28" s="177"/>
      <c r="O28" s="174"/>
      <c r="P28" s="175"/>
    </row>
    <row r="29" spans="1:16" x14ac:dyDescent="0.25">
      <c r="A29" s="271"/>
      <c r="B29" s="184" t="s">
        <v>26</v>
      </c>
      <c r="C29" s="233">
        <v>240090</v>
      </c>
      <c r="D29" s="234">
        <v>239857</v>
      </c>
      <c r="E29" s="155"/>
      <c r="F29" s="224">
        <v>13747</v>
      </c>
      <c r="G29" s="62">
        <v>12562</v>
      </c>
      <c r="H29" s="62">
        <v>2937</v>
      </c>
      <c r="I29" s="65">
        <v>5326</v>
      </c>
      <c r="J29" s="29">
        <f>5693-H29</f>
        <v>2756</v>
      </c>
      <c r="K29" s="230">
        <f>7631-I29</f>
        <v>2305</v>
      </c>
      <c r="L29" s="104">
        <f t="shared" si="0"/>
        <v>19440</v>
      </c>
      <c r="M29" s="226">
        <f t="shared" si="0"/>
        <v>20193</v>
      </c>
      <c r="N29" s="177"/>
      <c r="O29" s="174"/>
      <c r="P29" s="175"/>
    </row>
    <row r="30" spans="1:16" x14ac:dyDescent="0.25">
      <c r="A30" s="271"/>
      <c r="B30" s="184" t="s">
        <v>27</v>
      </c>
      <c r="C30" s="233">
        <v>119954</v>
      </c>
      <c r="D30" s="234">
        <v>119884</v>
      </c>
      <c r="E30" s="155"/>
      <c r="F30" s="224">
        <v>6789</v>
      </c>
      <c r="G30" s="62">
        <v>5955</v>
      </c>
      <c r="H30" s="62">
        <v>788</v>
      </c>
      <c r="I30" s="65">
        <v>1481</v>
      </c>
      <c r="J30" s="29">
        <f>1931-H30</f>
        <v>1143</v>
      </c>
      <c r="K30" s="230">
        <f>2500-I30</f>
        <v>1019</v>
      </c>
      <c r="L30" s="104">
        <f t="shared" si="0"/>
        <v>8720</v>
      </c>
      <c r="M30" s="226">
        <f t="shared" si="0"/>
        <v>8455</v>
      </c>
      <c r="N30" s="177"/>
      <c r="O30" s="174"/>
      <c r="P30" s="175"/>
    </row>
    <row r="31" spans="1:16" x14ac:dyDescent="0.25">
      <c r="A31" s="271"/>
      <c r="B31" s="184" t="s">
        <v>28</v>
      </c>
      <c r="C31" s="233">
        <v>63528</v>
      </c>
      <c r="D31" s="234">
        <v>58718</v>
      </c>
      <c r="E31" s="155"/>
      <c r="F31" s="224">
        <v>19922</v>
      </c>
      <c r="G31" s="62">
        <v>16647</v>
      </c>
      <c r="H31" s="62">
        <v>288</v>
      </c>
      <c r="I31" s="65">
        <v>479</v>
      </c>
      <c r="J31" s="29">
        <f>1088-H31</f>
        <v>800</v>
      </c>
      <c r="K31" s="230">
        <f>1235-I31</f>
        <v>756</v>
      </c>
      <c r="L31" s="104">
        <f t="shared" si="0"/>
        <v>21010</v>
      </c>
      <c r="M31" s="226">
        <f t="shared" si="0"/>
        <v>17882</v>
      </c>
      <c r="N31" s="177"/>
      <c r="O31" s="174"/>
      <c r="P31" s="175"/>
    </row>
    <row r="32" spans="1:16" x14ac:dyDescent="0.25">
      <c r="A32" s="271"/>
      <c r="B32" s="184" t="s">
        <v>29</v>
      </c>
      <c r="C32" s="233">
        <v>156752</v>
      </c>
      <c r="D32" s="234">
        <v>144864</v>
      </c>
      <c r="E32" s="155"/>
      <c r="F32" s="224">
        <v>16391</v>
      </c>
      <c r="G32" s="62">
        <v>14882</v>
      </c>
      <c r="H32" s="62">
        <v>1532</v>
      </c>
      <c r="I32" s="65">
        <v>2461</v>
      </c>
      <c r="J32" s="29">
        <f>3099-H32</f>
        <v>1567</v>
      </c>
      <c r="K32" s="230">
        <f>3763-I32</f>
        <v>1302</v>
      </c>
      <c r="L32" s="104">
        <f t="shared" si="0"/>
        <v>19490</v>
      </c>
      <c r="M32" s="226">
        <f t="shared" si="0"/>
        <v>18645</v>
      </c>
      <c r="N32" s="177"/>
      <c r="O32" s="174"/>
      <c r="P32" s="175"/>
    </row>
    <row r="33" spans="1:16" x14ac:dyDescent="0.25">
      <c r="A33" s="271"/>
      <c r="B33" s="184" t="s">
        <v>30</v>
      </c>
      <c r="C33" s="233">
        <v>250986</v>
      </c>
      <c r="D33" s="234">
        <v>240065</v>
      </c>
      <c r="E33" s="155"/>
      <c r="F33" s="224">
        <v>13669</v>
      </c>
      <c r="G33" s="62">
        <v>12782</v>
      </c>
      <c r="H33" s="62">
        <v>1705</v>
      </c>
      <c r="I33" s="65">
        <v>3402</v>
      </c>
      <c r="J33" s="29">
        <f>3319-H33</f>
        <v>1614</v>
      </c>
      <c r="K33" s="230">
        <f>5042-I33</f>
        <v>1640</v>
      </c>
      <c r="L33" s="104">
        <f t="shared" si="0"/>
        <v>16988</v>
      </c>
      <c r="M33" s="226">
        <f t="shared" si="0"/>
        <v>17824</v>
      </c>
      <c r="N33" s="186"/>
      <c r="O33" s="174"/>
      <c r="P33" s="175"/>
    </row>
    <row r="34" spans="1:16" x14ac:dyDescent="0.25">
      <c r="A34" s="271"/>
      <c r="B34" s="184" t="s">
        <v>31</v>
      </c>
      <c r="C34" s="233">
        <v>151715</v>
      </c>
      <c r="D34" s="234">
        <v>147034</v>
      </c>
      <c r="E34" s="155"/>
      <c r="F34" s="224">
        <v>11230</v>
      </c>
      <c r="G34" s="62">
        <v>11856</v>
      </c>
      <c r="H34" s="62">
        <v>1380</v>
      </c>
      <c r="I34" s="65">
        <v>2888</v>
      </c>
      <c r="J34" s="29">
        <f>2410-H34</f>
        <v>1030</v>
      </c>
      <c r="K34" s="230">
        <f>3864-I34</f>
        <v>976</v>
      </c>
      <c r="L34" s="104">
        <f t="shared" si="0"/>
        <v>13640</v>
      </c>
      <c r="M34" s="226">
        <f t="shared" si="0"/>
        <v>15720</v>
      </c>
      <c r="N34" s="177"/>
      <c r="O34" s="174"/>
      <c r="P34" s="175"/>
    </row>
    <row r="35" spans="1:16" ht="16.5" thickBot="1" x14ac:dyDescent="0.3">
      <c r="A35" s="272"/>
      <c r="B35" s="179" t="s">
        <v>66</v>
      </c>
      <c r="C35" s="235">
        <f>SUM(C24:C34)</f>
        <v>1551168</v>
      </c>
      <c r="D35" s="228">
        <f>SUM(D24:D34)</f>
        <v>1543211</v>
      </c>
      <c r="E35" s="155"/>
      <c r="F35" s="227">
        <f t="shared" ref="F35:K35" si="2">SUM(F24:F34)</f>
        <v>114598</v>
      </c>
      <c r="G35" s="180">
        <f t="shared" si="2"/>
        <v>103814</v>
      </c>
      <c r="H35" s="180">
        <f t="shared" si="2"/>
        <v>13851</v>
      </c>
      <c r="I35" s="180">
        <f t="shared" si="2"/>
        <v>27025</v>
      </c>
      <c r="J35" s="180">
        <f t="shared" si="2"/>
        <v>12992</v>
      </c>
      <c r="K35" s="181">
        <f t="shared" si="2"/>
        <v>11997</v>
      </c>
      <c r="L35" s="123">
        <f>F35+H35+J35</f>
        <v>141441</v>
      </c>
      <c r="M35" s="228">
        <f>G35+I35+K35</f>
        <v>142836</v>
      </c>
      <c r="N35" s="177"/>
      <c r="O35" s="174"/>
      <c r="P35" s="175"/>
    </row>
    <row r="36" spans="1:16" x14ac:dyDescent="0.25">
      <c r="A36" s="273" t="s">
        <v>47</v>
      </c>
      <c r="B36" s="187" t="s">
        <v>68</v>
      </c>
      <c r="C36" s="275"/>
      <c r="D36" s="276"/>
      <c r="E36" s="155"/>
      <c r="F36" s="258"/>
      <c r="G36" s="259"/>
      <c r="H36" s="188">
        <v>12</v>
      </c>
      <c r="I36" s="188">
        <v>0</v>
      </c>
      <c r="J36" s="188">
        <v>23</v>
      </c>
      <c r="K36" s="237">
        <v>0</v>
      </c>
      <c r="L36" s="238">
        <f>F36+H36+J36</f>
        <v>35</v>
      </c>
      <c r="M36" s="239">
        <f>G36+I36+K36</f>
        <v>0</v>
      </c>
      <c r="N36" s="177"/>
      <c r="O36" s="152"/>
    </row>
    <row r="37" spans="1:16" x14ac:dyDescent="0.25">
      <c r="A37" s="274"/>
      <c r="B37" s="207" t="s">
        <v>69</v>
      </c>
      <c r="C37" s="260"/>
      <c r="D37" s="277"/>
      <c r="E37" s="155"/>
      <c r="F37" s="260"/>
      <c r="G37" s="261"/>
      <c r="H37" s="189">
        <v>0</v>
      </c>
      <c r="I37" s="248">
        <v>2</v>
      </c>
      <c r="J37" s="189">
        <v>72</v>
      </c>
      <c r="K37" s="240">
        <v>47</v>
      </c>
      <c r="L37" s="241">
        <f>J37+H37</f>
        <v>72</v>
      </c>
      <c r="M37" s="242">
        <f>G37+I37+K37</f>
        <v>49</v>
      </c>
      <c r="N37" s="177"/>
      <c r="O37" s="174"/>
      <c r="P37" s="175"/>
    </row>
    <row r="38" spans="1:16" x14ac:dyDescent="0.25">
      <c r="A38" s="210" t="s">
        <v>34</v>
      </c>
      <c r="B38" s="207" t="s">
        <v>69</v>
      </c>
      <c r="C38" s="260"/>
      <c r="D38" s="277"/>
      <c r="E38" s="155"/>
      <c r="F38" s="260"/>
      <c r="G38" s="261"/>
      <c r="H38" s="189">
        <v>112</v>
      </c>
      <c r="I38" s="189">
        <v>147</v>
      </c>
      <c r="J38" s="189">
        <v>162</v>
      </c>
      <c r="K38" s="240">
        <v>73</v>
      </c>
      <c r="L38" s="241">
        <f>F38+H38+J38</f>
        <v>274</v>
      </c>
      <c r="M38" s="242">
        <f>G38+I38+K38</f>
        <v>220</v>
      </c>
      <c r="N38" s="177"/>
      <c r="O38" s="174"/>
      <c r="P38" s="175"/>
    </row>
    <row r="39" spans="1:16" x14ac:dyDescent="0.25">
      <c r="A39" s="210" t="s">
        <v>49</v>
      </c>
      <c r="B39" s="190" t="s">
        <v>69</v>
      </c>
      <c r="C39" s="260"/>
      <c r="D39" s="277"/>
      <c r="E39" s="155"/>
      <c r="F39" s="260"/>
      <c r="G39" s="261"/>
      <c r="H39" s="189">
        <v>0</v>
      </c>
      <c r="I39" s="189">
        <v>0</v>
      </c>
      <c r="J39" s="189">
        <v>13</v>
      </c>
      <c r="K39" s="243">
        <v>0</v>
      </c>
      <c r="L39" s="241">
        <f>H39</f>
        <v>0</v>
      </c>
      <c r="M39" s="242">
        <f>G39+I39+J39</f>
        <v>13</v>
      </c>
      <c r="N39" s="177"/>
      <c r="O39" s="152"/>
    </row>
    <row r="40" spans="1:16" x14ac:dyDescent="0.25">
      <c r="A40" s="250" t="s">
        <v>40</v>
      </c>
      <c r="B40" s="251"/>
      <c r="C40" s="260"/>
      <c r="D40" s="277"/>
      <c r="E40" s="155"/>
      <c r="F40" s="260"/>
      <c r="G40" s="261"/>
      <c r="H40" s="189">
        <v>26674</v>
      </c>
      <c r="I40" s="189">
        <v>22853</v>
      </c>
      <c r="J40" s="264"/>
      <c r="K40" s="265"/>
      <c r="L40" s="241">
        <f>F40+H40+J40</f>
        <v>26674</v>
      </c>
      <c r="M40" s="242">
        <f>G40+I40+K40</f>
        <v>22853</v>
      </c>
      <c r="N40" s="177"/>
      <c r="O40" s="152"/>
    </row>
    <row r="41" spans="1:16" x14ac:dyDescent="0.25">
      <c r="A41" s="252" t="s">
        <v>70</v>
      </c>
      <c r="B41" s="253"/>
      <c r="C41" s="260"/>
      <c r="D41" s="277"/>
      <c r="E41" s="155"/>
      <c r="F41" s="260"/>
      <c r="G41" s="261"/>
      <c r="H41" s="47"/>
      <c r="I41" s="47"/>
      <c r="J41" s="264"/>
      <c r="K41" s="265"/>
      <c r="L41" s="241">
        <f>330403-F7</f>
        <v>114407</v>
      </c>
      <c r="M41" s="242">
        <f>336525-G7</f>
        <v>136609</v>
      </c>
      <c r="N41" s="177"/>
      <c r="O41" s="174"/>
      <c r="P41" s="174"/>
    </row>
    <row r="42" spans="1:16" x14ac:dyDescent="0.25">
      <c r="A42" s="252" t="s">
        <v>71</v>
      </c>
      <c r="B42" s="253"/>
      <c r="C42" s="260"/>
      <c r="D42" s="277"/>
      <c r="E42" s="155"/>
      <c r="F42" s="260"/>
      <c r="G42" s="261"/>
      <c r="H42" s="189">
        <v>22071</v>
      </c>
      <c r="I42" s="189">
        <v>21831</v>
      </c>
      <c r="J42" s="266"/>
      <c r="K42" s="267"/>
      <c r="L42" s="241">
        <f>F42+H42+J42</f>
        <v>22071</v>
      </c>
      <c r="M42" s="242">
        <f>G42+I42+K42</f>
        <v>21831</v>
      </c>
      <c r="N42" s="177"/>
      <c r="O42" s="152"/>
    </row>
    <row r="43" spans="1:16" ht="16.5" thickBot="1" x14ac:dyDescent="0.3">
      <c r="A43" s="254" t="s">
        <v>51</v>
      </c>
      <c r="B43" s="255"/>
      <c r="C43" s="262"/>
      <c r="D43" s="278"/>
      <c r="E43" s="155"/>
      <c r="F43" s="262"/>
      <c r="G43" s="263"/>
      <c r="H43" s="191"/>
      <c r="I43" s="192"/>
      <c r="J43" s="193">
        <v>19068</v>
      </c>
      <c r="K43" s="194">
        <v>12014</v>
      </c>
      <c r="L43" s="244">
        <f>F43+H43+J43</f>
        <v>19068</v>
      </c>
      <c r="M43" s="245">
        <f>G43+I43+K43</f>
        <v>12014</v>
      </c>
      <c r="N43" s="177"/>
      <c r="O43" s="152"/>
    </row>
    <row r="44" spans="1:16" ht="17.25" thickTop="1" thickBot="1" x14ac:dyDescent="0.3">
      <c r="A44" s="195"/>
      <c r="B44" s="195"/>
      <c r="C44" s="196"/>
      <c r="D44" s="196"/>
      <c r="E44" s="197"/>
      <c r="F44" s="198"/>
      <c r="G44" s="198"/>
      <c r="H44" s="198"/>
      <c r="I44" s="199"/>
      <c r="J44" s="200"/>
      <c r="K44" s="199"/>
      <c r="L44" s="199"/>
      <c r="M44" s="199"/>
      <c r="N44" s="177"/>
      <c r="O44" s="152"/>
    </row>
    <row r="45" spans="1:16" ht="17.25" thickTop="1" thickBot="1" x14ac:dyDescent="0.3">
      <c r="A45" s="201" t="s">
        <v>45</v>
      </c>
      <c r="B45" s="202" t="s">
        <v>72</v>
      </c>
      <c r="C45" s="256"/>
      <c r="D45" s="257"/>
      <c r="E45" s="257"/>
      <c r="F45" s="257"/>
      <c r="G45" s="257"/>
      <c r="H45" s="257"/>
      <c r="I45" s="257"/>
      <c r="J45" s="247">
        <v>869</v>
      </c>
      <c r="K45" s="203">
        <v>746</v>
      </c>
      <c r="L45" s="203">
        <f>F45+H45+J45</f>
        <v>869</v>
      </c>
      <c r="M45" s="246">
        <f>G45+I45+K45</f>
        <v>746</v>
      </c>
      <c r="N45" s="177"/>
      <c r="O45" s="152"/>
    </row>
    <row r="46" spans="1:16" ht="16.5" thickTop="1" x14ac:dyDescent="0.25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77"/>
      <c r="O46" s="152"/>
    </row>
    <row r="47" spans="1:16" x14ac:dyDescent="0.25">
      <c r="A47" s="152"/>
      <c r="B47" s="152"/>
      <c r="C47" s="152"/>
      <c r="D47" s="152"/>
      <c r="E47" s="152"/>
      <c r="F47" s="152"/>
      <c r="G47" s="152"/>
      <c r="H47" s="177"/>
      <c r="I47" s="152"/>
      <c r="J47" s="177"/>
      <c r="K47" s="152"/>
      <c r="L47" s="152"/>
      <c r="M47" s="177"/>
      <c r="N47" s="177"/>
      <c r="O47" s="152"/>
    </row>
    <row r="48" spans="1:16" x14ac:dyDescent="0.25">
      <c r="A48" s="249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152"/>
      <c r="M48" s="152"/>
      <c r="N48" s="152"/>
      <c r="O48" s="152"/>
    </row>
    <row r="49" spans="1:15" x14ac:dyDescent="0.25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</row>
  </sheetData>
  <mergeCells count="22">
    <mergeCell ref="A1:M1"/>
    <mergeCell ref="A2:M2"/>
    <mergeCell ref="A4:A6"/>
    <mergeCell ref="B4:B6"/>
    <mergeCell ref="C4:D4"/>
    <mergeCell ref="F4:G4"/>
    <mergeCell ref="H4:I4"/>
    <mergeCell ref="J4:K4"/>
    <mergeCell ref="L4:M4"/>
    <mergeCell ref="A7:B7"/>
    <mergeCell ref="A10:A23"/>
    <mergeCell ref="A24:A35"/>
    <mergeCell ref="A36:A37"/>
    <mergeCell ref="C36:D43"/>
    <mergeCell ref="A48:K48"/>
    <mergeCell ref="A40:B40"/>
    <mergeCell ref="A41:B41"/>
    <mergeCell ref="A42:B42"/>
    <mergeCell ref="A43:B43"/>
    <mergeCell ref="C45:I45"/>
    <mergeCell ref="F36:G43"/>
    <mergeCell ref="J40:K42"/>
  </mergeCells>
  <pageMargins left="0.4" right="0" top="0.75" bottom="0.75" header="0.3" footer="0.3"/>
  <pageSetup scale="71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21" sqref="A21"/>
    </sheetView>
  </sheetViews>
  <sheetFormatPr defaultRowHeight="15" x14ac:dyDescent="0.25"/>
  <cols>
    <col min="1" max="1" width="16.7109375" bestFit="1" customWidth="1"/>
    <col min="2" max="2" width="62.5703125" bestFit="1" customWidth="1"/>
  </cols>
  <sheetData>
    <row r="1" spans="1:2" x14ac:dyDescent="0.25">
      <c r="A1" t="s">
        <v>39</v>
      </c>
    </row>
    <row r="2" spans="1:2" x14ac:dyDescent="0.25">
      <c r="B2" t="s">
        <v>73</v>
      </c>
    </row>
    <row r="3" spans="1:2" x14ac:dyDescent="0.25">
      <c r="A3" t="s">
        <v>74</v>
      </c>
    </row>
    <row r="4" spans="1:2" x14ac:dyDescent="0.25">
      <c r="B4" t="s">
        <v>75</v>
      </c>
    </row>
    <row r="5" spans="1:2" x14ac:dyDescent="0.25">
      <c r="B5" t="s">
        <v>76</v>
      </c>
    </row>
    <row r="7" spans="1:2" x14ac:dyDescent="0.25">
      <c r="A7" t="s">
        <v>38</v>
      </c>
    </row>
    <row r="8" spans="1:2" x14ac:dyDescent="0.25">
      <c r="B8" t="s">
        <v>77</v>
      </c>
    </row>
    <row r="9" spans="1:2" s="11" customFormat="1" x14ac:dyDescent="0.25">
      <c r="B9" s="11" t="s">
        <v>80</v>
      </c>
    </row>
    <row r="10" spans="1:2" s="11" customFormat="1" x14ac:dyDescent="0.25">
      <c r="B10" s="11" t="s">
        <v>81</v>
      </c>
    </row>
    <row r="12" spans="1:2" x14ac:dyDescent="0.25">
      <c r="A12" t="s">
        <v>59</v>
      </c>
    </row>
    <row r="13" spans="1:2" x14ac:dyDescent="0.25">
      <c r="B13" s="11" t="s">
        <v>82</v>
      </c>
    </row>
    <row r="14" spans="1:2" x14ac:dyDescent="0.25">
      <c r="B14" t="s">
        <v>78</v>
      </c>
    </row>
    <row r="15" spans="1:2" x14ac:dyDescent="0.25">
      <c r="B15" t="s">
        <v>79</v>
      </c>
    </row>
    <row r="17" spans="1:2" x14ac:dyDescent="0.25">
      <c r="A17" t="s">
        <v>66</v>
      </c>
    </row>
    <row r="18" spans="1:2" x14ac:dyDescent="0.25">
      <c r="B1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8"/>
  <sheetViews>
    <sheetView zoomScale="70" zoomScaleNormal="70" workbookViewId="0">
      <selection activeCell="G51" sqref="G51"/>
    </sheetView>
  </sheetViews>
  <sheetFormatPr defaultRowHeight="15.75" x14ac:dyDescent="0.25"/>
  <cols>
    <col min="1" max="1" width="31.85546875" style="132" bestFit="1" customWidth="1"/>
    <col min="2" max="2" width="21.5703125" style="132" customWidth="1"/>
    <col min="3" max="4" width="15.5703125" style="132" bestFit="1" customWidth="1"/>
    <col min="5" max="5" width="2.140625" style="132" customWidth="1"/>
    <col min="6" max="7" width="12.5703125" style="132" bestFit="1" customWidth="1"/>
    <col min="8" max="9" width="13.28515625" style="132" bestFit="1" customWidth="1"/>
    <col min="10" max="11" width="12.5703125" style="132" bestFit="1" customWidth="1"/>
    <col min="12" max="12" width="13" style="132" bestFit="1" customWidth="1"/>
    <col min="13" max="13" width="12.5703125" style="132" bestFit="1" customWidth="1"/>
    <col min="14" max="15" width="9" style="132" customWidth="1"/>
    <col min="16" max="16384" width="9.140625" style="132"/>
  </cols>
  <sheetData>
    <row r="1" spans="1:14" ht="20.25" x14ac:dyDescent="0.3">
      <c r="A1" s="279" t="s">
        <v>35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4" ht="20.25" x14ac:dyDescent="0.25">
      <c r="A2" s="280" t="s">
        <v>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4" ht="11.25" customHeight="1" thickBot="1" x14ac:dyDescent="0.3">
      <c r="A3" s="133"/>
      <c r="B3" s="133"/>
      <c r="C3" s="133"/>
      <c r="D3" s="133"/>
      <c r="E3" s="133"/>
      <c r="F3" s="133"/>
      <c r="G3" s="133"/>
      <c r="H3" s="133"/>
      <c r="I3" s="133"/>
      <c r="J3" s="133"/>
    </row>
    <row r="4" spans="1:14" ht="31.5" customHeight="1" x14ac:dyDescent="0.25">
      <c r="A4" s="134"/>
      <c r="B4" s="134"/>
      <c r="C4" s="294" t="s">
        <v>39</v>
      </c>
      <c r="D4" s="295"/>
      <c r="F4" s="296" t="s">
        <v>48</v>
      </c>
      <c r="G4" s="297"/>
      <c r="H4" s="296" t="s">
        <v>38</v>
      </c>
      <c r="I4" s="297"/>
      <c r="J4" s="296" t="s">
        <v>59</v>
      </c>
      <c r="K4" s="297"/>
      <c r="L4" s="296" t="s">
        <v>60</v>
      </c>
      <c r="M4" s="297"/>
    </row>
    <row r="5" spans="1:14" ht="16.5" thickBot="1" x14ac:dyDescent="0.3">
      <c r="A5" s="134"/>
      <c r="B5" s="134"/>
      <c r="C5" s="95">
        <v>2016</v>
      </c>
      <c r="D5" s="51">
        <v>2015</v>
      </c>
      <c r="F5" s="95">
        <v>2016</v>
      </c>
      <c r="G5" s="51">
        <v>2015</v>
      </c>
      <c r="H5" s="95">
        <v>2016</v>
      </c>
      <c r="I5" s="51">
        <v>2015</v>
      </c>
      <c r="J5" s="95">
        <v>2016</v>
      </c>
      <c r="K5" s="51">
        <v>2015</v>
      </c>
      <c r="L5" s="95">
        <v>2016</v>
      </c>
      <c r="M5" s="51">
        <v>2015</v>
      </c>
    </row>
    <row r="6" spans="1:14" ht="32.25" thickBot="1" x14ac:dyDescent="0.3">
      <c r="A6" s="52" t="s">
        <v>1</v>
      </c>
      <c r="B6" s="101" t="s">
        <v>2</v>
      </c>
      <c r="C6" s="52" t="s">
        <v>36</v>
      </c>
      <c r="D6" s="54" t="s">
        <v>4</v>
      </c>
      <c r="F6" s="52" t="s">
        <v>36</v>
      </c>
      <c r="G6" s="54" t="s">
        <v>4</v>
      </c>
      <c r="H6" s="102" t="s">
        <v>36</v>
      </c>
      <c r="I6" s="99" t="s">
        <v>4</v>
      </c>
      <c r="J6" s="102" t="s">
        <v>36</v>
      </c>
      <c r="K6" s="99" t="s">
        <v>4</v>
      </c>
      <c r="L6" s="52" t="s">
        <v>36</v>
      </c>
      <c r="M6" s="54" t="s">
        <v>4</v>
      </c>
    </row>
    <row r="7" spans="1:14" x14ac:dyDescent="0.25">
      <c r="A7" s="294" t="s">
        <v>58</v>
      </c>
      <c r="B7" s="135" t="s">
        <v>6</v>
      </c>
      <c r="C7" s="96">
        <v>46184.028803998772</v>
      </c>
      <c r="D7" s="18">
        <v>44890</v>
      </c>
      <c r="F7" s="19">
        <v>1429.5</v>
      </c>
      <c r="G7" s="21">
        <v>1445</v>
      </c>
      <c r="H7" s="103">
        <v>154.75</v>
      </c>
      <c r="I7" s="74">
        <v>252</v>
      </c>
      <c r="J7" s="85">
        <v>437.14285714285717</v>
      </c>
      <c r="K7" s="74">
        <v>521</v>
      </c>
      <c r="L7" s="19">
        <f>F7+H7+J7</f>
        <v>2021.3928571428571</v>
      </c>
      <c r="M7" s="21">
        <f>G7+I7+K7</f>
        <v>2218</v>
      </c>
      <c r="N7" s="136"/>
    </row>
    <row r="8" spans="1:14" x14ac:dyDescent="0.25">
      <c r="A8" s="313"/>
      <c r="B8" s="137" t="s">
        <v>7</v>
      </c>
      <c r="C8" s="35">
        <v>14605.943020301027</v>
      </c>
      <c r="D8" s="26">
        <v>13211</v>
      </c>
      <c r="F8" s="23">
        <v>705</v>
      </c>
      <c r="G8" s="28">
        <v>555</v>
      </c>
      <c r="H8" s="104">
        <v>4</v>
      </c>
      <c r="I8" s="60">
        <v>7</v>
      </c>
      <c r="J8" s="86">
        <v>126.85714285714286</v>
      </c>
      <c r="K8" s="60">
        <v>111</v>
      </c>
      <c r="L8" s="23">
        <f t="shared" ref="L8:L42" si="0">F8+H8+J8</f>
        <v>835.85714285714289</v>
      </c>
      <c r="M8" s="28">
        <f t="shared" ref="M8:M42" si="1">G8+I8+K8</f>
        <v>673</v>
      </c>
      <c r="N8" s="136"/>
    </row>
    <row r="9" spans="1:14" x14ac:dyDescent="0.25">
      <c r="A9" s="313"/>
      <c r="B9" s="137" t="s">
        <v>8</v>
      </c>
      <c r="C9" s="35">
        <v>96877.094133087594</v>
      </c>
      <c r="D9" s="26">
        <v>86684</v>
      </c>
      <c r="F9" s="23">
        <v>10191</v>
      </c>
      <c r="G9" s="28">
        <v>8835</v>
      </c>
      <c r="H9" s="104">
        <v>548.59375</v>
      </c>
      <c r="I9" s="60">
        <v>1311</v>
      </c>
      <c r="J9" s="86">
        <v>2893.7142857142858</v>
      </c>
      <c r="K9" s="60">
        <v>2185</v>
      </c>
      <c r="L9" s="23">
        <f t="shared" si="0"/>
        <v>13633.308035714286</v>
      </c>
      <c r="M9" s="28">
        <f t="shared" si="1"/>
        <v>12331</v>
      </c>
      <c r="N9" s="136"/>
    </row>
    <row r="10" spans="1:14" x14ac:dyDescent="0.25">
      <c r="A10" s="313"/>
      <c r="B10" s="137" t="s">
        <v>9</v>
      </c>
      <c r="C10" s="35">
        <v>237830.91713440005</v>
      </c>
      <c r="D10" s="26">
        <v>225744</v>
      </c>
      <c r="F10" s="23">
        <v>20013</v>
      </c>
      <c r="G10" s="28">
        <v>17920</v>
      </c>
      <c r="H10" s="104">
        <v>1027.5970149253731</v>
      </c>
      <c r="I10" s="60">
        <v>3171</v>
      </c>
      <c r="J10" s="86">
        <v>3816</v>
      </c>
      <c r="K10" s="60">
        <v>5105</v>
      </c>
      <c r="L10" s="23">
        <f t="shared" si="0"/>
        <v>24856.597014925374</v>
      </c>
      <c r="M10" s="28">
        <f t="shared" si="1"/>
        <v>26196</v>
      </c>
      <c r="N10" s="136"/>
    </row>
    <row r="11" spans="1:14" x14ac:dyDescent="0.25">
      <c r="A11" s="313"/>
      <c r="B11" s="137" t="s">
        <v>10</v>
      </c>
      <c r="C11" s="35">
        <v>137070.8223590517</v>
      </c>
      <c r="D11" s="26">
        <v>124438</v>
      </c>
      <c r="F11" s="23">
        <v>8637</v>
      </c>
      <c r="G11" s="28">
        <v>7631</v>
      </c>
      <c r="H11" s="104">
        <v>641.45161290322585</v>
      </c>
      <c r="I11" s="60">
        <v>1462</v>
      </c>
      <c r="J11" s="86">
        <v>2166.8571428571431</v>
      </c>
      <c r="K11" s="60">
        <v>2663</v>
      </c>
      <c r="L11" s="23">
        <f t="shared" si="0"/>
        <v>11445.308755760369</v>
      </c>
      <c r="M11" s="28">
        <f t="shared" si="1"/>
        <v>11756</v>
      </c>
      <c r="N11" s="136"/>
    </row>
    <row r="12" spans="1:14" x14ac:dyDescent="0.25">
      <c r="A12" s="313"/>
      <c r="B12" s="137" t="s">
        <v>11</v>
      </c>
      <c r="C12" s="35">
        <v>33159.801667085536</v>
      </c>
      <c r="D12" s="26">
        <v>31997</v>
      </c>
      <c r="F12" s="23">
        <v>1602</v>
      </c>
      <c r="G12" s="28">
        <v>1837</v>
      </c>
      <c r="H12" s="104">
        <v>386.85714285714289</v>
      </c>
      <c r="I12" s="60">
        <v>660</v>
      </c>
      <c r="J12" s="86">
        <v>781.71428571428567</v>
      </c>
      <c r="K12" s="60">
        <v>852</v>
      </c>
      <c r="L12" s="23">
        <f t="shared" si="0"/>
        <v>2770.5714285714284</v>
      </c>
      <c r="M12" s="28">
        <f t="shared" si="1"/>
        <v>3349</v>
      </c>
      <c r="N12" s="136"/>
    </row>
    <row r="13" spans="1:14" x14ac:dyDescent="0.25">
      <c r="A13" s="313"/>
      <c r="B13" s="137" t="s">
        <v>12</v>
      </c>
      <c r="C13" s="35">
        <v>42011.848482309906</v>
      </c>
      <c r="D13" s="26">
        <v>34505</v>
      </c>
      <c r="F13" s="23">
        <v>315</v>
      </c>
      <c r="G13" s="28">
        <v>184</v>
      </c>
      <c r="H13" s="104">
        <v>61</v>
      </c>
      <c r="I13" s="60">
        <v>132</v>
      </c>
      <c r="J13" s="86">
        <v>840</v>
      </c>
      <c r="K13" s="60">
        <v>610</v>
      </c>
      <c r="L13" s="23">
        <f t="shared" si="0"/>
        <v>1216</v>
      </c>
      <c r="M13" s="28">
        <f t="shared" si="1"/>
        <v>926</v>
      </c>
      <c r="N13" s="136"/>
    </row>
    <row r="14" spans="1:14" x14ac:dyDescent="0.25">
      <c r="A14" s="313"/>
      <c r="B14" s="137" t="s">
        <v>13</v>
      </c>
      <c r="C14" s="35">
        <v>33854.595236100642</v>
      </c>
      <c r="D14" s="26">
        <v>31526</v>
      </c>
      <c r="F14" s="23">
        <v>2511</v>
      </c>
      <c r="G14" s="28">
        <v>2374</v>
      </c>
      <c r="H14" s="104">
        <v>67.714285714285722</v>
      </c>
      <c r="I14" s="60">
        <v>200</v>
      </c>
      <c r="J14" s="86">
        <v>593.14285714285711</v>
      </c>
      <c r="K14" s="60">
        <v>498</v>
      </c>
      <c r="L14" s="23">
        <f t="shared" si="0"/>
        <v>3171.8571428571431</v>
      </c>
      <c r="M14" s="28">
        <f t="shared" si="1"/>
        <v>3072</v>
      </c>
      <c r="N14" s="136"/>
    </row>
    <row r="15" spans="1:14" x14ac:dyDescent="0.25">
      <c r="A15" s="313"/>
      <c r="B15" s="137" t="s">
        <v>14</v>
      </c>
      <c r="C15" s="35">
        <v>15615.923598894195</v>
      </c>
      <c r="D15" s="26">
        <v>15067</v>
      </c>
      <c r="F15" s="23">
        <v>1185</v>
      </c>
      <c r="G15" s="28">
        <v>1041</v>
      </c>
      <c r="H15" s="104">
        <v>38</v>
      </c>
      <c r="I15" s="60">
        <v>67</v>
      </c>
      <c r="J15" s="86">
        <v>159.42857142857144</v>
      </c>
      <c r="K15" s="60">
        <v>186</v>
      </c>
      <c r="L15" s="23">
        <f t="shared" si="0"/>
        <v>1382.4285714285716</v>
      </c>
      <c r="M15" s="28">
        <f t="shared" si="1"/>
        <v>1294</v>
      </c>
      <c r="N15" s="136"/>
    </row>
    <row r="16" spans="1:14" x14ac:dyDescent="0.25">
      <c r="A16" s="313"/>
      <c r="B16" s="137" t="s">
        <v>15</v>
      </c>
      <c r="C16" s="35">
        <v>17446.615174108512</v>
      </c>
      <c r="D16" s="26">
        <v>16916</v>
      </c>
      <c r="F16" s="23">
        <v>5911.5</v>
      </c>
      <c r="G16" s="28">
        <v>4681</v>
      </c>
      <c r="H16" s="104">
        <v>47.5</v>
      </c>
      <c r="I16" s="60">
        <v>79</v>
      </c>
      <c r="J16" s="86">
        <v>490.28571428571422</v>
      </c>
      <c r="K16" s="60">
        <v>363</v>
      </c>
      <c r="L16" s="23">
        <f t="shared" si="0"/>
        <v>6449.2857142857138</v>
      </c>
      <c r="M16" s="28">
        <f t="shared" si="1"/>
        <v>5123</v>
      </c>
      <c r="N16" s="136"/>
    </row>
    <row r="17" spans="1:14" x14ac:dyDescent="0.25">
      <c r="A17" s="313"/>
      <c r="B17" s="137" t="s">
        <v>16</v>
      </c>
      <c r="C17" s="35">
        <v>156850.83097372315</v>
      </c>
      <c r="D17" s="26">
        <v>150248</v>
      </c>
      <c r="F17" s="23">
        <v>12156</v>
      </c>
      <c r="G17" s="28">
        <v>10302</v>
      </c>
      <c r="H17" s="104">
        <v>1122.5714285714284</v>
      </c>
      <c r="I17" s="60">
        <v>1905</v>
      </c>
      <c r="J17" s="86">
        <v>3257.1428571428573</v>
      </c>
      <c r="K17" s="60">
        <v>3565</v>
      </c>
      <c r="L17" s="23">
        <f t="shared" si="0"/>
        <v>16535.714285714286</v>
      </c>
      <c r="M17" s="28">
        <f t="shared" si="1"/>
        <v>15772</v>
      </c>
      <c r="N17" s="136"/>
    </row>
    <row r="18" spans="1:14" x14ac:dyDescent="0.25">
      <c r="A18" s="313"/>
      <c r="B18" s="137" t="s">
        <v>17</v>
      </c>
      <c r="C18" s="35">
        <v>41924.043980899725</v>
      </c>
      <c r="D18" s="26">
        <v>39291</v>
      </c>
      <c r="F18" s="23">
        <v>1599</v>
      </c>
      <c r="G18" s="28">
        <v>1310</v>
      </c>
      <c r="H18" s="104">
        <v>63.666666666666664</v>
      </c>
      <c r="I18" s="60">
        <v>258</v>
      </c>
      <c r="J18" s="86">
        <v>401.14285714285717</v>
      </c>
      <c r="K18" s="60">
        <v>456</v>
      </c>
      <c r="L18" s="23">
        <f t="shared" si="0"/>
        <v>2063.8095238095239</v>
      </c>
      <c r="M18" s="28">
        <f t="shared" si="1"/>
        <v>2024</v>
      </c>
      <c r="N18" s="136"/>
    </row>
    <row r="19" spans="1:14" x14ac:dyDescent="0.25">
      <c r="A19" s="313"/>
      <c r="B19" s="137" t="s">
        <v>18</v>
      </c>
      <c r="C19" s="35">
        <v>84322.51419954763</v>
      </c>
      <c r="D19" s="26">
        <v>69920</v>
      </c>
      <c r="F19" s="23">
        <v>13125</v>
      </c>
      <c r="G19" s="28">
        <v>10695</v>
      </c>
      <c r="H19" s="104">
        <v>55</v>
      </c>
      <c r="I19" s="60">
        <v>359</v>
      </c>
      <c r="J19" s="86">
        <v>855.42857142857156</v>
      </c>
      <c r="K19" s="60">
        <v>939</v>
      </c>
      <c r="L19" s="23">
        <f t="shared" si="0"/>
        <v>14035.428571428572</v>
      </c>
      <c r="M19" s="28">
        <f t="shared" si="1"/>
        <v>11993</v>
      </c>
      <c r="N19" s="136"/>
    </row>
    <row r="20" spans="1:14" ht="16.5" thickBot="1" x14ac:dyDescent="0.3">
      <c r="A20" s="314"/>
      <c r="B20" s="138" t="s">
        <v>19</v>
      </c>
      <c r="C20" s="121">
        <f>SUM(C7:C19)</f>
        <v>957754.97876350826</v>
      </c>
      <c r="D20" s="122">
        <f>SUM(D7:D19)</f>
        <v>884437</v>
      </c>
      <c r="F20" s="121">
        <f t="shared" ref="F20:K20" si="2">SUM(F7:F19)</f>
        <v>79380</v>
      </c>
      <c r="G20" s="122">
        <f t="shared" si="2"/>
        <v>68810</v>
      </c>
      <c r="H20" s="123">
        <f t="shared" si="2"/>
        <v>4218.7019016381228</v>
      </c>
      <c r="I20" s="124">
        <f t="shared" si="2"/>
        <v>9863</v>
      </c>
      <c r="J20" s="123">
        <f t="shared" si="2"/>
        <v>16818.857142857141</v>
      </c>
      <c r="K20" s="124">
        <f t="shared" si="2"/>
        <v>18054</v>
      </c>
      <c r="L20" s="121">
        <f>F20+H20+J20</f>
        <v>100417.55904449527</v>
      </c>
      <c r="M20" s="122">
        <f>G20+I20+K20</f>
        <v>96727</v>
      </c>
      <c r="N20" s="136"/>
    </row>
    <row r="21" spans="1:14" x14ac:dyDescent="0.25">
      <c r="A21" s="294" t="s">
        <v>20</v>
      </c>
      <c r="B21" s="139" t="s">
        <v>21</v>
      </c>
      <c r="C21" s="96">
        <v>202647.3306727676</v>
      </c>
      <c r="D21" s="18">
        <v>201564</v>
      </c>
      <c r="F21" s="112">
        <v>12424.5</v>
      </c>
      <c r="G21" s="100">
        <v>11454</v>
      </c>
      <c r="H21" s="105">
        <v>2080.3333333333335</v>
      </c>
      <c r="I21" s="106">
        <v>3758</v>
      </c>
      <c r="J21" s="94">
        <v>5043.4285714285716</v>
      </c>
      <c r="K21" s="115">
        <v>6156</v>
      </c>
      <c r="L21" s="112">
        <f t="shared" si="0"/>
        <v>19548.261904761905</v>
      </c>
      <c r="M21" s="100">
        <f t="shared" si="1"/>
        <v>21368</v>
      </c>
      <c r="N21" s="136"/>
    </row>
    <row r="22" spans="1:14" x14ac:dyDescent="0.25">
      <c r="A22" s="313"/>
      <c r="B22" s="140" t="s">
        <v>22</v>
      </c>
      <c r="C22" s="35">
        <v>109515.01776099634</v>
      </c>
      <c r="D22" s="26">
        <v>108991</v>
      </c>
      <c r="F22" s="23">
        <v>5994</v>
      </c>
      <c r="G22" s="28">
        <v>5089</v>
      </c>
      <c r="H22" s="104">
        <v>964</v>
      </c>
      <c r="I22" s="107">
        <v>1787</v>
      </c>
      <c r="J22" s="86">
        <v>1889.1428571428569</v>
      </c>
      <c r="K22" s="60">
        <v>2556</v>
      </c>
      <c r="L22" s="23">
        <f t="shared" si="0"/>
        <v>8847.1428571428569</v>
      </c>
      <c r="M22" s="28">
        <f t="shared" si="1"/>
        <v>9432</v>
      </c>
      <c r="N22" s="136"/>
    </row>
    <row r="23" spans="1:14" x14ac:dyDescent="0.25">
      <c r="A23" s="313"/>
      <c r="B23" s="140" t="s">
        <v>23</v>
      </c>
      <c r="C23" s="35">
        <v>130187.69126829857</v>
      </c>
      <c r="D23" s="26">
        <v>131162</v>
      </c>
      <c r="F23" s="23">
        <v>5928</v>
      </c>
      <c r="G23" s="28">
        <v>5294</v>
      </c>
      <c r="H23" s="104">
        <v>1674.0821917808219</v>
      </c>
      <c r="I23" s="107">
        <v>3629</v>
      </c>
      <c r="J23" s="86">
        <v>2513.1428571428569</v>
      </c>
      <c r="K23" s="60">
        <v>4361</v>
      </c>
      <c r="L23" s="23">
        <f t="shared" si="0"/>
        <v>10115.225048923679</v>
      </c>
      <c r="M23" s="28">
        <f t="shared" si="1"/>
        <v>13284</v>
      </c>
      <c r="N23" s="136"/>
    </row>
    <row r="24" spans="1:14" x14ac:dyDescent="0.25">
      <c r="A24" s="313"/>
      <c r="B24" s="140" t="s">
        <v>24</v>
      </c>
      <c r="C24" s="35">
        <v>69133.852063371916</v>
      </c>
      <c r="D24" s="26">
        <v>66745</v>
      </c>
      <c r="F24" s="23">
        <v>3973.5</v>
      </c>
      <c r="G24" s="28">
        <v>3627</v>
      </c>
      <c r="H24" s="104">
        <v>334.17741935483872</v>
      </c>
      <c r="I24" s="107">
        <v>999</v>
      </c>
      <c r="J24" s="86">
        <v>792</v>
      </c>
      <c r="K24" s="60">
        <v>1311</v>
      </c>
      <c r="L24" s="23">
        <f t="shared" si="0"/>
        <v>5099.677419354839</v>
      </c>
      <c r="M24" s="28">
        <f t="shared" si="1"/>
        <v>5937</v>
      </c>
      <c r="N24" s="141"/>
    </row>
    <row r="25" spans="1:14" x14ac:dyDescent="0.25">
      <c r="A25" s="313"/>
      <c r="B25" s="140" t="s">
        <v>25</v>
      </c>
      <c r="C25" s="35">
        <v>95219.697108354972</v>
      </c>
      <c r="D25" s="26">
        <v>84327</v>
      </c>
      <c r="F25" s="23">
        <v>4122</v>
      </c>
      <c r="G25" s="28">
        <v>3666</v>
      </c>
      <c r="H25" s="104">
        <v>125.72727272727273</v>
      </c>
      <c r="I25" s="107">
        <v>341</v>
      </c>
      <c r="J25" s="86">
        <v>183.42857142857144</v>
      </c>
      <c r="K25" s="60">
        <v>359</v>
      </c>
      <c r="L25" s="23">
        <f t="shared" si="0"/>
        <v>4431.1558441558445</v>
      </c>
      <c r="M25" s="28">
        <f t="shared" si="1"/>
        <v>4366</v>
      </c>
      <c r="N25" s="136"/>
    </row>
    <row r="26" spans="1:14" x14ac:dyDescent="0.25">
      <c r="A26" s="313"/>
      <c r="B26" s="140" t="s">
        <v>26</v>
      </c>
      <c r="C26" s="35">
        <v>260138.07169765886</v>
      </c>
      <c r="D26" s="26">
        <v>239857</v>
      </c>
      <c r="F26" s="23">
        <v>14109</v>
      </c>
      <c r="G26" s="28">
        <v>12562</v>
      </c>
      <c r="H26" s="104">
        <v>2673.1871657754009</v>
      </c>
      <c r="I26" s="107">
        <v>5038</v>
      </c>
      <c r="J26" s="86">
        <v>6653.1428571428569</v>
      </c>
      <c r="K26" s="60">
        <v>7681</v>
      </c>
      <c r="L26" s="23">
        <f t="shared" si="0"/>
        <v>23435.330022918257</v>
      </c>
      <c r="M26" s="28">
        <f t="shared" si="1"/>
        <v>25281</v>
      </c>
      <c r="N26" s="136"/>
    </row>
    <row r="27" spans="1:14" x14ac:dyDescent="0.25">
      <c r="A27" s="313"/>
      <c r="B27" s="140" t="s">
        <v>27</v>
      </c>
      <c r="C27" s="35">
        <v>126588.00472193075</v>
      </c>
      <c r="D27" s="26">
        <v>119884</v>
      </c>
      <c r="F27" s="23">
        <v>6645</v>
      </c>
      <c r="G27" s="28">
        <v>5955</v>
      </c>
      <c r="H27" s="104">
        <v>847.46391752577324</v>
      </c>
      <c r="I27" s="107">
        <v>1491</v>
      </c>
      <c r="J27" s="86">
        <v>2158.2857142857142</v>
      </c>
      <c r="K27" s="60">
        <v>2517</v>
      </c>
      <c r="L27" s="23">
        <f t="shared" si="0"/>
        <v>9650.7496318114881</v>
      </c>
      <c r="M27" s="28">
        <f t="shared" si="1"/>
        <v>9963</v>
      </c>
      <c r="N27" s="136"/>
    </row>
    <row r="28" spans="1:14" x14ac:dyDescent="0.25">
      <c r="A28" s="313"/>
      <c r="B28" s="140" t="s">
        <v>28</v>
      </c>
      <c r="C28" s="35">
        <v>68939.564077202274</v>
      </c>
      <c r="D28" s="26">
        <v>58718</v>
      </c>
      <c r="F28" s="23">
        <v>20545.5</v>
      </c>
      <c r="G28" s="28">
        <v>16647</v>
      </c>
      <c r="H28" s="104">
        <v>314</v>
      </c>
      <c r="I28" s="107">
        <v>492</v>
      </c>
      <c r="J28" s="86">
        <v>1318.2857142857142</v>
      </c>
      <c r="K28" s="60">
        <v>1280</v>
      </c>
      <c r="L28" s="23">
        <f t="shared" si="0"/>
        <v>22177.785714285714</v>
      </c>
      <c r="M28" s="28">
        <f t="shared" si="1"/>
        <v>18419</v>
      </c>
      <c r="N28" s="136"/>
    </row>
    <row r="29" spans="1:14" x14ac:dyDescent="0.25">
      <c r="A29" s="313"/>
      <c r="B29" s="140" t="s">
        <v>29</v>
      </c>
      <c r="C29" s="35">
        <v>169486.49737670514</v>
      </c>
      <c r="D29" s="26">
        <v>144864</v>
      </c>
      <c r="F29" s="23">
        <v>16365</v>
      </c>
      <c r="G29" s="28">
        <v>14882</v>
      </c>
      <c r="H29" s="104">
        <v>1827.3220338983051</v>
      </c>
      <c r="I29" s="107">
        <v>2439</v>
      </c>
      <c r="J29" s="86">
        <v>3618.8571428571427</v>
      </c>
      <c r="K29" s="60">
        <v>3796</v>
      </c>
      <c r="L29" s="23">
        <f t="shared" si="0"/>
        <v>21811.179176755446</v>
      </c>
      <c r="M29" s="28">
        <f t="shared" si="1"/>
        <v>21117</v>
      </c>
      <c r="N29" s="136"/>
    </row>
    <row r="30" spans="1:14" x14ac:dyDescent="0.25">
      <c r="A30" s="313"/>
      <c r="B30" s="140" t="s">
        <v>30</v>
      </c>
      <c r="C30" s="35">
        <v>278871.52667159791</v>
      </c>
      <c r="D30" s="26">
        <v>240065</v>
      </c>
      <c r="F30" s="23">
        <v>13857</v>
      </c>
      <c r="G30" s="28">
        <v>12782</v>
      </c>
      <c r="H30" s="104">
        <v>1983.905027932961</v>
      </c>
      <c r="I30" s="107">
        <v>3205</v>
      </c>
      <c r="J30" s="86">
        <v>4100.5714285714284</v>
      </c>
      <c r="K30" s="60">
        <v>5038</v>
      </c>
      <c r="L30" s="23">
        <f t="shared" si="0"/>
        <v>19941.476456504388</v>
      </c>
      <c r="M30" s="28">
        <f t="shared" si="1"/>
        <v>21025</v>
      </c>
      <c r="N30" s="142"/>
    </row>
    <row r="31" spans="1:14" x14ac:dyDescent="0.25">
      <c r="A31" s="313"/>
      <c r="B31" s="140" t="s">
        <v>31</v>
      </c>
      <c r="C31" s="35">
        <v>176498.12256377615</v>
      </c>
      <c r="D31" s="26">
        <v>147034</v>
      </c>
      <c r="F31" s="23">
        <v>11098.5</v>
      </c>
      <c r="G31" s="28">
        <v>11856</v>
      </c>
      <c r="H31" s="104">
        <v>1571.1592356687897</v>
      </c>
      <c r="I31" s="107">
        <v>2791</v>
      </c>
      <c r="J31" s="86">
        <v>2718.8571428571431</v>
      </c>
      <c r="K31" s="60">
        <v>3564</v>
      </c>
      <c r="L31" s="23">
        <f t="shared" si="0"/>
        <v>15388.516378525934</v>
      </c>
      <c r="M31" s="28">
        <f t="shared" si="1"/>
        <v>18211</v>
      </c>
      <c r="N31" s="136"/>
    </row>
    <row r="32" spans="1:14" ht="16.5" thickBot="1" x14ac:dyDescent="0.3">
      <c r="A32" s="315"/>
      <c r="B32" s="143" t="s">
        <v>32</v>
      </c>
      <c r="C32" s="125">
        <f>SUM(C21:C31)</f>
        <v>1687225.3759826603</v>
      </c>
      <c r="D32" s="126">
        <f>SUM(D21:D31)</f>
        <v>1543211</v>
      </c>
      <c r="F32" s="125">
        <f t="shared" ref="F32:K32" si="3">SUM(F21:F31)</f>
        <v>115062</v>
      </c>
      <c r="G32" s="126">
        <f t="shared" si="3"/>
        <v>103814</v>
      </c>
      <c r="H32" s="127">
        <f t="shared" si="3"/>
        <v>14395.357597997496</v>
      </c>
      <c r="I32" s="128">
        <f t="shared" si="3"/>
        <v>25970</v>
      </c>
      <c r="J32" s="127">
        <f t="shared" si="3"/>
        <v>30989.142857142855</v>
      </c>
      <c r="K32" s="128">
        <f t="shared" si="3"/>
        <v>38619</v>
      </c>
      <c r="L32" s="125">
        <f>F32+H32+J32</f>
        <v>160446.50045514037</v>
      </c>
      <c r="M32" s="126">
        <f>G32+I32+K32</f>
        <v>168403</v>
      </c>
      <c r="N32" s="136"/>
    </row>
    <row r="33" spans="1:14" x14ac:dyDescent="0.25">
      <c r="A33" s="309" t="s">
        <v>33</v>
      </c>
      <c r="B33" s="310"/>
      <c r="C33" s="37"/>
      <c r="D33" s="39"/>
      <c r="F33" s="40"/>
      <c r="G33" s="116"/>
      <c r="H33" s="85">
        <f>340+326</f>
        <v>666</v>
      </c>
      <c r="I33" s="117">
        <v>510</v>
      </c>
      <c r="J33" s="85">
        <f>(910*2)+326</f>
        <v>2146</v>
      </c>
      <c r="K33" s="74">
        <v>1698</v>
      </c>
      <c r="L33" s="19">
        <f t="shared" si="0"/>
        <v>2812</v>
      </c>
      <c r="M33" s="21">
        <f t="shared" si="1"/>
        <v>2208</v>
      </c>
      <c r="N33" s="136"/>
    </row>
    <row r="34" spans="1:14" x14ac:dyDescent="0.25">
      <c r="A34" s="305" t="s">
        <v>47</v>
      </c>
      <c r="B34" s="306"/>
      <c r="C34" s="43"/>
      <c r="D34" s="45"/>
      <c r="F34" s="46"/>
      <c r="G34" s="109"/>
      <c r="H34" s="86">
        <v>40</v>
      </c>
      <c r="I34" s="108">
        <v>12</v>
      </c>
      <c r="J34" s="86">
        <v>65</v>
      </c>
      <c r="K34" s="48">
        <v>59</v>
      </c>
      <c r="L34" s="23">
        <f t="shared" si="0"/>
        <v>105</v>
      </c>
      <c r="M34" s="28">
        <f t="shared" si="1"/>
        <v>71</v>
      </c>
      <c r="N34" s="136"/>
    </row>
    <row r="35" spans="1:14" x14ac:dyDescent="0.25">
      <c r="A35" s="305" t="s">
        <v>46</v>
      </c>
      <c r="B35" s="306"/>
      <c r="C35" s="43"/>
      <c r="D35" s="45"/>
      <c r="F35" s="46"/>
      <c r="G35" s="109"/>
      <c r="H35" s="35">
        <v>25</v>
      </c>
      <c r="I35" s="56"/>
      <c r="J35" s="86">
        <v>25</v>
      </c>
      <c r="K35" s="56"/>
      <c r="L35" s="23">
        <v>25</v>
      </c>
      <c r="M35" s="56"/>
      <c r="N35" s="136"/>
    </row>
    <row r="36" spans="1:14" x14ac:dyDescent="0.25">
      <c r="A36" s="305" t="s">
        <v>34</v>
      </c>
      <c r="B36" s="306"/>
      <c r="C36" s="43"/>
      <c r="D36" s="45"/>
      <c r="F36" s="46"/>
      <c r="G36" s="109"/>
      <c r="H36" s="86">
        <v>136</v>
      </c>
      <c r="I36" s="108">
        <v>144</v>
      </c>
      <c r="J36" s="86">
        <v>136</v>
      </c>
      <c r="K36" s="48">
        <v>217</v>
      </c>
      <c r="L36" s="23">
        <f t="shared" si="0"/>
        <v>272</v>
      </c>
      <c r="M36" s="28">
        <f t="shared" si="1"/>
        <v>361</v>
      </c>
      <c r="N36" s="136"/>
    </row>
    <row r="37" spans="1:14" x14ac:dyDescent="0.25">
      <c r="A37" s="305" t="s">
        <v>49</v>
      </c>
      <c r="B37" s="306"/>
      <c r="C37" s="43"/>
      <c r="D37" s="45"/>
      <c r="F37" s="46"/>
      <c r="G37" s="109"/>
      <c r="H37" s="46"/>
      <c r="I37" s="109"/>
      <c r="J37" s="86">
        <v>20</v>
      </c>
      <c r="K37" s="48">
        <v>14</v>
      </c>
      <c r="L37" s="23">
        <f t="shared" si="0"/>
        <v>20</v>
      </c>
      <c r="M37" s="28">
        <f t="shared" si="1"/>
        <v>14</v>
      </c>
      <c r="N37" s="136"/>
    </row>
    <row r="38" spans="1:14" x14ac:dyDescent="0.25">
      <c r="A38" s="311" t="s">
        <v>43</v>
      </c>
      <c r="B38" s="312"/>
      <c r="C38" s="43"/>
      <c r="D38" s="45"/>
      <c r="F38" s="46"/>
      <c r="G38" s="109"/>
      <c r="H38" s="46"/>
      <c r="I38" s="56"/>
      <c r="J38" s="86">
        <v>153</v>
      </c>
      <c r="K38" s="56"/>
      <c r="L38" s="23">
        <f t="shared" si="0"/>
        <v>153</v>
      </c>
      <c r="M38" s="56"/>
      <c r="N38" s="136"/>
    </row>
    <row r="39" spans="1:14" ht="16.5" thickBot="1" x14ac:dyDescent="0.3">
      <c r="A39" s="307" t="s">
        <v>40</v>
      </c>
      <c r="B39" s="308"/>
      <c r="C39" s="97"/>
      <c r="D39" s="98"/>
      <c r="F39" s="113"/>
      <c r="G39" s="114"/>
      <c r="H39" s="110">
        <v>26502</v>
      </c>
      <c r="I39" s="111">
        <v>22853</v>
      </c>
      <c r="J39" s="110">
        <v>26502</v>
      </c>
      <c r="K39" s="33">
        <v>22853</v>
      </c>
      <c r="L39" s="30">
        <f t="shared" si="0"/>
        <v>53004</v>
      </c>
      <c r="M39" s="33">
        <f t="shared" si="1"/>
        <v>45706</v>
      </c>
      <c r="N39" s="136"/>
    </row>
    <row r="40" spans="1:14" ht="16.5" thickBot="1" x14ac:dyDescent="0.3">
      <c r="A40" s="300" t="s">
        <v>50</v>
      </c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136"/>
    </row>
    <row r="41" spans="1:14" x14ac:dyDescent="0.25">
      <c r="A41" s="309" t="s">
        <v>57</v>
      </c>
      <c r="B41" s="310"/>
      <c r="C41" s="37"/>
      <c r="D41" s="39"/>
      <c r="F41" s="40"/>
      <c r="G41" s="78"/>
      <c r="H41" s="40"/>
      <c r="I41" s="78"/>
      <c r="J41" s="85">
        <f>330056-J35-J33-J34-J32-J20-J36-J38-J37</f>
        <v>279703</v>
      </c>
      <c r="K41" s="117">
        <f>336252-K35-K33-K34-K32-K20-K36-K38-K37</f>
        <v>277591</v>
      </c>
      <c r="L41" s="144">
        <f t="shared" si="0"/>
        <v>279703</v>
      </c>
      <c r="M41" s="21">
        <f t="shared" si="1"/>
        <v>277591</v>
      </c>
      <c r="N41" s="136"/>
    </row>
    <row r="42" spans="1:14" ht="16.5" thickBot="1" x14ac:dyDescent="0.3">
      <c r="A42" s="307" t="s">
        <v>42</v>
      </c>
      <c r="B42" s="308"/>
      <c r="C42" s="97"/>
      <c r="D42" s="98"/>
      <c r="F42" s="113"/>
      <c r="G42" s="118"/>
      <c r="H42" s="110">
        <v>23403</v>
      </c>
      <c r="I42" s="147">
        <v>23015</v>
      </c>
      <c r="J42" s="110">
        <v>23403</v>
      </c>
      <c r="K42" s="33">
        <v>23015</v>
      </c>
      <c r="L42" s="145">
        <f t="shared" si="0"/>
        <v>46806</v>
      </c>
      <c r="M42" s="33">
        <f t="shared" si="1"/>
        <v>46030</v>
      </c>
      <c r="N42" s="136"/>
    </row>
    <row r="43" spans="1:14" ht="16.5" thickBot="1" x14ac:dyDescent="0.3">
      <c r="B43" s="146" t="s">
        <v>54</v>
      </c>
      <c r="C43" s="129">
        <f>C20+C32</f>
        <v>2644980.3547461685</v>
      </c>
      <c r="D43" s="131">
        <f>D20+D32</f>
        <v>2427648</v>
      </c>
      <c r="F43" s="129">
        <f>F20+F32</f>
        <v>194442</v>
      </c>
      <c r="G43" s="130">
        <f>G20+G32</f>
        <v>172624</v>
      </c>
      <c r="H43" s="150">
        <f>(17371+H39+H42)</f>
        <v>67276</v>
      </c>
      <c r="I43" s="151">
        <f>34780+I39+I42</f>
        <v>80648</v>
      </c>
      <c r="J43" s="129">
        <f>J20+J32+J34+J33+J38+J36+J37+J39+J42+J41+J35</f>
        <v>379961</v>
      </c>
      <c r="K43" s="131">
        <f>K20+K32+K34+K33+K38+K36+K37+K39+K42+K41</f>
        <v>382120</v>
      </c>
      <c r="L43" s="129">
        <f>L20+L32+L34+L33+L38+L36+L37+L39+L42+L41+L35</f>
        <v>643764.05949963559</v>
      </c>
      <c r="M43" s="131">
        <f>M20+M32+M34+M33+M38+M36+M37+M39+M42+M41</f>
        <v>637111</v>
      </c>
      <c r="N43" s="136"/>
    </row>
    <row r="44" spans="1:14" ht="16.5" thickBot="1" x14ac:dyDescent="0.3">
      <c r="H44" s="136"/>
      <c r="J44" s="136"/>
      <c r="M44" s="136"/>
      <c r="N44" s="136"/>
    </row>
    <row r="45" spans="1:14" x14ac:dyDescent="0.25">
      <c r="A45" s="303" t="s">
        <v>45</v>
      </c>
      <c r="B45" s="304"/>
      <c r="C45" s="37"/>
      <c r="D45" s="39"/>
      <c r="F45" s="40"/>
      <c r="G45" s="78"/>
      <c r="H45" s="40"/>
      <c r="I45" s="148"/>
      <c r="J45" s="149">
        <v>1078</v>
      </c>
      <c r="K45" s="74">
        <v>746</v>
      </c>
      <c r="L45" s="144">
        <f>F45+H45+J45</f>
        <v>1078</v>
      </c>
      <c r="M45" s="21">
        <f>G45+I45+K45</f>
        <v>746</v>
      </c>
      <c r="N45" s="136"/>
    </row>
    <row r="46" spans="1:14" ht="16.5" thickBot="1" x14ac:dyDescent="0.3">
      <c r="A46" s="298" t="s">
        <v>51</v>
      </c>
      <c r="B46" s="299"/>
      <c r="C46" s="97"/>
      <c r="D46" s="98"/>
      <c r="F46" s="113"/>
      <c r="G46" s="118"/>
      <c r="H46" s="113"/>
      <c r="I46" s="119"/>
      <c r="J46" s="120">
        <v>14481</v>
      </c>
      <c r="K46" s="75">
        <v>12636</v>
      </c>
      <c r="L46" s="145">
        <f>F46+H46+J46</f>
        <v>14481</v>
      </c>
      <c r="M46" s="33">
        <f>G46+I46+K46</f>
        <v>12636</v>
      </c>
      <c r="N46" s="136"/>
    </row>
    <row r="47" spans="1:14" ht="11.25" customHeight="1" x14ac:dyDescent="0.25">
      <c r="H47" s="136"/>
      <c r="J47" s="136"/>
      <c r="M47" s="136"/>
      <c r="N47" s="136"/>
    </row>
    <row r="48" spans="1:14" x14ac:dyDescent="0.25">
      <c r="A48" s="302" t="s">
        <v>52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</sheetData>
  <mergeCells count="22">
    <mergeCell ref="A46:B46"/>
    <mergeCell ref="L4:M4"/>
    <mergeCell ref="A40:M40"/>
    <mergeCell ref="A48:K48"/>
    <mergeCell ref="A45:B45"/>
    <mergeCell ref="A37:B37"/>
    <mergeCell ref="A39:B39"/>
    <mergeCell ref="A41:B41"/>
    <mergeCell ref="A42:B42"/>
    <mergeCell ref="A34:B34"/>
    <mergeCell ref="A35:B35"/>
    <mergeCell ref="A33:B33"/>
    <mergeCell ref="A36:B36"/>
    <mergeCell ref="A38:B38"/>
    <mergeCell ref="A7:A20"/>
    <mergeCell ref="A21:A32"/>
    <mergeCell ref="C4:D4"/>
    <mergeCell ref="F4:G4"/>
    <mergeCell ref="H4:I4"/>
    <mergeCell ref="J4:K4"/>
    <mergeCell ref="A1:M1"/>
    <mergeCell ref="A2:M2"/>
  </mergeCells>
  <pageMargins left="0.25" right="0.25" top="0.75" bottom="0.75" header="0.3" footer="0.3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9"/>
  <sheetViews>
    <sheetView zoomScale="70" zoomScaleNormal="70" workbookViewId="0">
      <selection activeCell="B52" sqref="B52"/>
    </sheetView>
  </sheetViews>
  <sheetFormatPr defaultRowHeight="15" x14ac:dyDescent="0.25"/>
  <cols>
    <col min="1" max="1" width="29.28515625" style="1" bestFit="1" customWidth="1"/>
    <col min="2" max="2" width="17.28515625" style="1" bestFit="1" customWidth="1"/>
    <col min="3" max="3" width="10.42578125" style="1" bestFit="1" customWidth="1"/>
    <col min="4" max="4" width="13" style="1" bestFit="1" customWidth="1"/>
    <col min="5" max="5" width="10.85546875" style="1" bestFit="1" customWidth="1"/>
    <col min="6" max="6" width="13" style="1" bestFit="1" customWidth="1"/>
    <col min="7" max="7" width="10.140625" style="1" bestFit="1" customWidth="1"/>
    <col min="8" max="8" width="10.85546875" style="1" bestFit="1" customWidth="1"/>
    <col min="9" max="9" width="10.140625" style="1" bestFit="1" customWidth="1"/>
    <col min="10" max="10" width="10.42578125" style="1" bestFit="1" customWidth="1"/>
    <col min="11" max="14" width="10.85546875" style="1" bestFit="1" customWidth="1"/>
    <col min="15" max="15" width="38.5703125" style="1" bestFit="1" customWidth="1"/>
    <col min="16" max="16" width="20" style="1" bestFit="1" customWidth="1"/>
    <col min="17" max="17" width="13.140625" style="1" bestFit="1" customWidth="1"/>
    <col min="18" max="16384" width="9.140625" style="1"/>
  </cols>
  <sheetData>
    <row r="1" spans="1:17" ht="18.75" x14ac:dyDescent="0.3">
      <c r="A1" s="332" t="s">
        <v>35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4"/>
      <c r="O1" s="4"/>
    </row>
    <row r="2" spans="1:17" ht="18.75" x14ac:dyDescent="0.25">
      <c r="A2" s="333" t="s">
        <v>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5"/>
      <c r="O2" s="5"/>
      <c r="Q2" s="11"/>
    </row>
    <row r="3" spans="1:17" ht="6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7" ht="15.75" customHeight="1" x14ac:dyDescent="0.25">
      <c r="A4" s="3"/>
      <c r="B4" s="3"/>
      <c r="C4" s="294" t="s">
        <v>39</v>
      </c>
      <c r="D4" s="334"/>
      <c r="E4" s="334"/>
      <c r="F4" s="295"/>
      <c r="G4" s="296" t="s">
        <v>48</v>
      </c>
      <c r="H4" s="318"/>
      <c r="I4" s="318"/>
      <c r="J4" s="297"/>
      <c r="K4" s="338" t="s">
        <v>38</v>
      </c>
      <c r="L4" s="318"/>
      <c r="M4" s="318" t="s">
        <v>37</v>
      </c>
      <c r="N4" s="297"/>
    </row>
    <row r="5" spans="1:17" ht="16.5" thickBot="1" x14ac:dyDescent="0.3">
      <c r="A5" s="3"/>
      <c r="B5" s="3"/>
      <c r="C5" s="314">
        <v>2016</v>
      </c>
      <c r="D5" s="316"/>
      <c r="E5" s="316">
        <v>2015</v>
      </c>
      <c r="F5" s="317"/>
      <c r="G5" s="314">
        <v>2016</v>
      </c>
      <c r="H5" s="316"/>
      <c r="I5" s="316">
        <v>2015</v>
      </c>
      <c r="J5" s="317"/>
      <c r="K5" s="49">
        <v>2016</v>
      </c>
      <c r="L5" s="50">
        <v>2015</v>
      </c>
      <c r="M5" s="50">
        <v>2016</v>
      </c>
      <c r="N5" s="51">
        <v>2015</v>
      </c>
    </row>
    <row r="6" spans="1:17" ht="32.25" thickBot="1" x14ac:dyDescent="0.3">
      <c r="A6" s="12" t="s">
        <v>1</v>
      </c>
      <c r="B6" s="13" t="s">
        <v>2</v>
      </c>
      <c r="C6" s="52" t="s">
        <v>3</v>
      </c>
      <c r="D6" s="53" t="s">
        <v>36</v>
      </c>
      <c r="E6" s="53" t="s">
        <v>3</v>
      </c>
      <c r="F6" s="54" t="s">
        <v>4</v>
      </c>
      <c r="G6" s="52" t="s">
        <v>3</v>
      </c>
      <c r="H6" s="53" t="s">
        <v>36</v>
      </c>
      <c r="I6" s="53" t="s">
        <v>3</v>
      </c>
      <c r="J6" s="54" t="s">
        <v>4</v>
      </c>
      <c r="K6" s="55" t="s">
        <v>36</v>
      </c>
      <c r="L6" s="53" t="s">
        <v>4</v>
      </c>
      <c r="M6" s="53" t="s">
        <v>36</v>
      </c>
      <c r="N6" s="54" t="s">
        <v>4</v>
      </c>
    </row>
    <row r="7" spans="1:17" ht="15.75" x14ac:dyDescent="0.25">
      <c r="A7" s="339" t="s">
        <v>5</v>
      </c>
      <c r="B7" s="6" t="s">
        <v>6</v>
      </c>
      <c r="C7" s="15">
        <v>3848.6690669998975</v>
      </c>
      <c r="D7" s="16">
        <v>46184.028803998772</v>
      </c>
      <c r="E7" s="17">
        <v>3741</v>
      </c>
      <c r="F7" s="18">
        <v>44890</v>
      </c>
      <c r="G7" s="19">
        <v>119.125</v>
      </c>
      <c r="H7" s="20">
        <v>1429.5</v>
      </c>
      <c r="I7" s="20">
        <v>120.41666666666667</v>
      </c>
      <c r="J7" s="21">
        <v>1445</v>
      </c>
      <c r="K7" s="66">
        <v>154.75</v>
      </c>
      <c r="L7" s="61">
        <v>252</v>
      </c>
      <c r="M7" s="22">
        <v>437.14285714285717</v>
      </c>
      <c r="N7" s="74">
        <v>521</v>
      </c>
      <c r="P7" s="77"/>
      <c r="Q7" s="77"/>
    </row>
    <row r="8" spans="1:17" ht="15.75" x14ac:dyDescent="0.25">
      <c r="A8" s="340"/>
      <c r="B8" s="7" t="s">
        <v>7</v>
      </c>
      <c r="C8" s="23">
        <v>1217.1619183584189</v>
      </c>
      <c r="D8" s="24">
        <v>14605.943020301027</v>
      </c>
      <c r="E8" s="25">
        <v>1101</v>
      </c>
      <c r="F8" s="26">
        <v>13211</v>
      </c>
      <c r="G8" s="23">
        <v>58.75</v>
      </c>
      <c r="H8" s="27">
        <v>705</v>
      </c>
      <c r="I8" s="27">
        <v>46.25</v>
      </c>
      <c r="J8" s="28">
        <v>555</v>
      </c>
      <c r="K8" s="67">
        <v>4</v>
      </c>
      <c r="L8" s="62">
        <v>7</v>
      </c>
      <c r="M8" s="29">
        <v>126.85714285714286</v>
      </c>
      <c r="N8" s="60">
        <v>111</v>
      </c>
      <c r="P8" s="77"/>
      <c r="Q8" s="77"/>
    </row>
    <row r="9" spans="1:17" ht="15.75" x14ac:dyDescent="0.25">
      <c r="A9" s="340"/>
      <c r="B9" s="7" t="s">
        <v>8</v>
      </c>
      <c r="C9" s="23">
        <v>8073.0911777572992</v>
      </c>
      <c r="D9" s="24">
        <v>96877.094133087594</v>
      </c>
      <c r="E9" s="25">
        <v>7224</v>
      </c>
      <c r="F9" s="26">
        <v>86684</v>
      </c>
      <c r="G9" s="23">
        <v>849.25</v>
      </c>
      <c r="H9" s="27">
        <v>10191</v>
      </c>
      <c r="I9" s="27">
        <v>736.25</v>
      </c>
      <c r="J9" s="28">
        <v>8835</v>
      </c>
      <c r="K9" s="67">
        <v>548.59375</v>
      </c>
      <c r="L9" s="62">
        <v>1311</v>
      </c>
      <c r="M9" s="29">
        <v>2893.7142857142858</v>
      </c>
      <c r="N9" s="60">
        <v>2185</v>
      </c>
      <c r="P9" s="77"/>
      <c r="Q9" s="77"/>
    </row>
    <row r="10" spans="1:17" ht="15.75" x14ac:dyDescent="0.25">
      <c r="A10" s="340"/>
      <c r="B10" s="7" t="s">
        <v>9</v>
      </c>
      <c r="C10" s="23">
        <v>19819.243094533336</v>
      </c>
      <c r="D10" s="24">
        <v>237830.91713440005</v>
      </c>
      <c r="E10" s="25">
        <v>18812</v>
      </c>
      <c r="F10" s="26">
        <v>225744</v>
      </c>
      <c r="G10" s="23">
        <v>1667.75</v>
      </c>
      <c r="H10" s="27">
        <v>20013</v>
      </c>
      <c r="I10" s="27">
        <v>1493.3333333333333</v>
      </c>
      <c r="J10" s="28">
        <v>17920</v>
      </c>
      <c r="K10" s="67">
        <v>1027.5970149253731</v>
      </c>
      <c r="L10" s="62">
        <v>3171</v>
      </c>
      <c r="M10" s="29">
        <v>3816</v>
      </c>
      <c r="N10" s="60">
        <v>5105</v>
      </c>
      <c r="P10" s="77"/>
      <c r="Q10" s="77"/>
    </row>
    <row r="11" spans="1:17" ht="15.75" x14ac:dyDescent="0.25">
      <c r="A11" s="340"/>
      <c r="B11" s="7" t="s">
        <v>10</v>
      </c>
      <c r="C11" s="23">
        <v>11422.568529920974</v>
      </c>
      <c r="D11" s="24">
        <v>137070.8223590517</v>
      </c>
      <c r="E11" s="25">
        <v>10370</v>
      </c>
      <c r="F11" s="26">
        <v>124438</v>
      </c>
      <c r="G11" s="23">
        <v>719.75</v>
      </c>
      <c r="H11" s="27">
        <v>8637</v>
      </c>
      <c r="I11" s="27">
        <v>635.91666666666663</v>
      </c>
      <c r="J11" s="28">
        <v>7631</v>
      </c>
      <c r="K11" s="67">
        <v>641.45161290322585</v>
      </c>
      <c r="L11" s="62">
        <v>1462</v>
      </c>
      <c r="M11" s="29">
        <v>2166.8571428571431</v>
      </c>
      <c r="N11" s="60">
        <v>2663</v>
      </c>
      <c r="P11" s="77"/>
      <c r="Q11" s="77"/>
    </row>
    <row r="12" spans="1:17" ht="15.75" x14ac:dyDescent="0.25">
      <c r="A12" s="340"/>
      <c r="B12" s="7" t="s">
        <v>11</v>
      </c>
      <c r="C12" s="23">
        <v>2763.3168055904612</v>
      </c>
      <c r="D12" s="24">
        <v>33159.801667085536</v>
      </c>
      <c r="E12" s="25">
        <v>2666</v>
      </c>
      <c r="F12" s="26">
        <v>31997</v>
      </c>
      <c r="G12" s="23">
        <v>133.5</v>
      </c>
      <c r="H12" s="27">
        <v>1602</v>
      </c>
      <c r="I12" s="27">
        <v>153.08333333333334</v>
      </c>
      <c r="J12" s="28">
        <v>1837</v>
      </c>
      <c r="K12" s="67">
        <v>386.85714285714289</v>
      </c>
      <c r="L12" s="62">
        <v>660</v>
      </c>
      <c r="M12" s="29">
        <v>781.71428571428567</v>
      </c>
      <c r="N12" s="60">
        <v>852</v>
      </c>
      <c r="P12" s="77"/>
      <c r="Q12" s="77"/>
    </row>
    <row r="13" spans="1:17" ht="15.75" x14ac:dyDescent="0.25">
      <c r="A13" s="340"/>
      <c r="B13" s="7" t="s">
        <v>12</v>
      </c>
      <c r="C13" s="23">
        <v>3500.9873735258257</v>
      </c>
      <c r="D13" s="24">
        <v>42011.848482309906</v>
      </c>
      <c r="E13" s="25">
        <v>2875</v>
      </c>
      <c r="F13" s="26">
        <v>34505</v>
      </c>
      <c r="G13" s="23">
        <v>26.25</v>
      </c>
      <c r="H13" s="27">
        <v>315</v>
      </c>
      <c r="I13" s="27">
        <v>15.333333333333334</v>
      </c>
      <c r="J13" s="28">
        <v>184</v>
      </c>
      <c r="K13" s="67">
        <v>61</v>
      </c>
      <c r="L13" s="62">
        <v>132</v>
      </c>
      <c r="M13" s="29">
        <v>840</v>
      </c>
      <c r="N13" s="60">
        <v>610</v>
      </c>
      <c r="P13" s="77"/>
      <c r="Q13" s="77"/>
    </row>
    <row r="14" spans="1:17" ht="15.75" x14ac:dyDescent="0.25">
      <c r="A14" s="340"/>
      <c r="B14" s="7" t="s">
        <v>13</v>
      </c>
      <c r="C14" s="23">
        <v>2821.2162696750534</v>
      </c>
      <c r="D14" s="24">
        <v>33854.595236100642</v>
      </c>
      <c r="E14" s="25">
        <v>2627</v>
      </c>
      <c r="F14" s="26">
        <v>31526</v>
      </c>
      <c r="G14" s="23">
        <v>209.25</v>
      </c>
      <c r="H14" s="27">
        <v>2511</v>
      </c>
      <c r="I14" s="27">
        <v>197.83333333333334</v>
      </c>
      <c r="J14" s="28">
        <v>2374</v>
      </c>
      <c r="K14" s="67">
        <v>67.714285714285722</v>
      </c>
      <c r="L14" s="62">
        <v>200</v>
      </c>
      <c r="M14" s="29">
        <v>593.14285714285711</v>
      </c>
      <c r="N14" s="60">
        <v>498</v>
      </c>
      <c r="P14" s="77"/>
      <c r="Q14" s="77"/>
    </row>
    <row r="15" spans="1:17" ht="15.75" x14ac:dyDescent="0.25">
      <c r="A15" s="340"/>
      <c r="B15" s="7" t="s">
        <v>14</v>
      </c>
      <c r="C15" s="23">
        <v>1301.3269665745163</v>
      </c>
      <c r="D15" s="24">
        <v>15615.923598894195</v>
      </c>
      <c r="E15" s="25">
        <v>1256</v>
      </c>
      <c r="F15" s="26">
        <v>15067</v>
      </c>
      <c r="G15" s="23">
        <v>98.75</v>
      </c>
      <c r="H15" s="27">
        <v>1185</v>
      </c>
      <c r="I15" s="27">
        <v>86.75</v>
      </c>
      <c r="J15" s="28">
        <v>1041</v>
      </c>
      <c r="K15" s="67">
        <v>38</v>
      </c>
      <c r="L15" s="62">
        <v>67</v>
      </c>
      <c r="M15" s="29">
        <v>159.42857142857144</v>
      </c>
      <c r="N15" s="60">
        <v>186</v>
      </c>
      <c r="P15" s="77"/>
      <c r="Q15" s="77"/>
    </row>
    <row r="16" spans="1:17" ht="15.75" x14ac:dyDescent="0.25">
      <c r="A16" s="340"/>
      <c r="B16" s="7" t="s">
        <v>15</v>
      </c>
      <c r="C16" s="23">
        <v>1453.884597842376</v>
      </c>
      <c r="D16" s="24">
        <v>17446.615174108512</v>
      </c>
      <c r="E16" s="25">
        <v>1410</v>
      </c>
      <c r="F16" s="26">
        <v>16916</v>
      </c>
      <c r="G16" s="23">
        <v>492.625</v>
      </c>
      <c r="H16" s="27">
        <v>5911.5</v>
      </c>
      <c r="I16" s="27">
        <v>390.08333333333331</v>
      </c>
      <c r="J16" s="28">
        <v>4681</v>
      </c>
      <c r="K16" s="67">
        <v>47.5</v>
      </c>
      <c r="L16" s="62">
        <v>79</v>
      </c>
      <c r="M16" s="29">
        <v>490.28571428571422</v>
      </c>
      <c r="N16" s="60">
        <v>363</v>
      </c>
      <c r="P16" s="77"/>
      <c r="Q16" s="77"/>
    </row>
    <row r="17" spans="1:17" ht="15.75" x14ac:dyDescent="0.25">
      <c r="A17" s="340"/>
      <c r="B17" s="7" t="s">
        <v>16</v>
      </c>
      <c r="C17" s="23">
        <v>13070.902581143595</v>
      </c>
      <c r="D17" s="24">
        <v>156850.83097372315</v>
      </c>
      <c r="E17" s="25">
        <v>12521</v>
      </c>
      <c r="F17" s="26">
        <v>150248</v>
      </c>
      <c r="G17" s="23">
        <v>1013</v>
      </c>
      <c r="H17" s="27">
        <v>12156</v>
      </c>
      <c r="I17" s="27">
        <v>858.5</v>
      </c>
      <c r="J17" s="28">
        <v>10302</v>
      </c>
      <c r="K17" s="67">
        <v>1122.5714285714284</v>
      </c>
      <c r="L17" s="62">
        <v>1905</v>
      </c>
      <c r="M17" s="29">
        <v>3257.1428571428573</v>
      </c>
      <c r="N17" s="60">
        <v>3565</v>
      </c>
      <c r="P17" s="77"/>
      <c r="Q17" s="77"/>
    </row>
    <row r="18" spans="1:17" ht="15.75" x14ac:dyDescent="0.25">
      <c r="A18" s="340"/>
      <c r="B18" s="7" t="s">
        <v>17</v>
      </c>
      <c r="C18" s="23">
        <v>3493.6703317416436</v>
      </c>
      <c r="D18" s="24">
        <v>41924.043980899725</v>
      </c>
      <c r="E18" s="25">
        <v>3274</v>
      </c>
      <c r="F18" s="26">
        <v>39291</v>
      </c>
      <c r="G18" s="23">
        <v>133.25</v>
      </c>
      <c r="H18" s="27">
        <v>1599</v>
      </c>
      <c r="I18" s="27">
        <v>109.16666666666667</v>
      </c>
      <c r="J18" s="28">
        <v>1310</v>
      </c>
      <c r="K18" s="67">
        <v>63.666666666666664</v>
      </c>
      <c r="L18" s="62">
        <v>258</v>
      </c>
      <c r="M18" s="29">
        <v>401.14285714285717</v>
      </c>
      <c r="N18" s="60">
        <v>456</v>
      </c>
      <c r="P18" s="77"/>
      <c r="Q18" s="77"/>
    </row>
    <row r="19" spans="1:17" ht="15.75" x14ac:dyDescent="0.25">
      <c r="A19" s="340"/>
      <c r="B19" s="7" t="s">
        <v>18</v>
      </c>
      <c r="C19" s="23">
        <v>7026.8761832956361</v>
      </c>
      <c r="D19" s="24">
        <v>84322.51419954763</v>
      </c>
      <c r="E19" s="25">
        <v>5827</v>
      </c>
      <c r="F19" s="26">
        <v>69920</v>
      </c>
      <c r="G19" s="23">
        <v>1093.75</v>
      </c>
      <c r="H19" s="27">
        <v>13125</v>
      </c>
      <c r="I19" s="27">
        <v>891.25</v>
      </c>
      <c r="J19" s="28">
        <v>10695</v>
      </c>
      <c r="K19" s="67">
        <v>55</v>
      </c>
      <c r="L19" s="62">
        <v>359</v>
      </c>
      <c r="M19" s="29">
        <v>855.42857142857156</v>
      </c>
      <c r="N19" s="60">
        <v>939</v>
      </c>
      <c r="P19" s="77"/>
      <c r="Q19" s="77"/>
    </row>
    <row r="20" spans="1:17" ht="16.5" thickBot="1" x14ac:dyDescent="0.3">
      <c r="A20" s="341"/>
      <c r="B20" s="8" t="s">
        <v>19</v>
      </c>
      <c r="C20" s="30">
        <f>SUM(C7:C19)</f>
        <v>79812.914896959031</v>
      </c>
      <c r="D20" s="31">
        <f t="shared" ref="D20" si="0">C20*12</f>
        <v>957754.97876350838</v>
      </c>
      <c r="E20" s="32">
        <f t="shared" ref="E20:N20" si="1">SUM(E7:E19)</f>
        <v>73704</v>
      </c>
      <c r="F20" s="33">
        <f t="shared" si="1"/>
        <v>884437</v>
      </c>
      <c r="G20" s="30">
        <f t="shared" si="1"/>
        <v>6615</v>
      </c>
      <c r="H20" s="32">
        <f t="shared" si="1"/>
        <v>79380</v>
      </c>
      <c r="I20" s="32">
        <f t="shared" si="1"/>
        <v>5734.166666666667</v>
      </c>
      <c r="J20" s="33">
        <f t="shared" si="1"/>
        <v>68810</v>
      </c>
      <c r="K20" s="68">
        <f t="shared" si="1"/>
        <v>4218.7019016381228</v>
      </c>
      <c r="L20" s="63">
        <f t="shared" si="1"/>
        <v>9863</v>
      </c>
      <c r="M20" s="63">
        <f t="shared" si="1"/>
        <v>16818.857142857141</v>
      </c>
      <c r="N20" s="75">
        <f t="shared" si="1"/>
        <v>18054</v>
      </c>
      <c r="O20" s="76"/>
      <c r="P20" s="77"/>
      <c r="Q20" s="77"/>
    </row>
    <row r="21" spans="1:17" ht="15.75" x14ac:dyDescent="0.25">
      <c r="A21" s="339" t="s">
        <v>20</v>
      </c>
      <c r="B21" s="14" t="s">
        <v>21</v>
      </c>
      <c r="C21" s="34">
        <v>16887.277556063967</v>
      </c>
      <c r="D21" s="16">
        <v>202647.3306727676</v>
      </c>
      <c r="E21" s="17">
        <v>16797</v>
      </c>
      <c r="F21" s="18">
        <v>201564</v>
      </c>
      <c r="G21" s="19">
        <v>1035.375</v>
      </c>
      <c r="H21" s="20">
        <v>12424.5</v>
      </c>
      <c r="I21" s="20">
        <v>954.5</v>
      </c>
      <c r="J21" s="21">
        <v>11454</v>
      </c>
      <c r="K21" s="66">
        <v>2080.3333333333335</v>
      </c>
      <c r="L21" s="64">
        <v>3758</v>
      </c>
      <c r="M21" s="22">
        <v>5043.4285714285716</v>
      </c>
      <c r="N21" s="74">
        <v>6156</v>
      </c>
      <c r="P21" s="77"/>
      <c r="Q21" s="77"/>
    </row>
    <row r="22" spans="1:17" ht="15.75" x14ac:dyDescent="0.25">
      <c r="A22" s="340"/>
      <c r="B22" s="9" t="s">
        <v>22</v>
      </c>
      <c r="C22" s="35">
        <v>9126.2514800830286</v>
      </c>
      <c r="D22" s="24">
        <v>109515.01776099634</v>
      </c>
      <c r="E22" s="24">
        <v>9083</v>
      </c>
      <c r="F22" s="26">
        <v>108991</v>
      </c>
      <c r="G22" s="23">
        <v>499.5</v>
      </c>
      <c r="H22" s="27">
        <v>5994</v>
      </c>
      <c r="I22" s="27">
        <v>424.08333333333331</v>
      </c>
      <c r="J22" s="28">
        <v>5089</v>
      </c>
      <c r="K22" s="67">
        <v>964</v>
      </c>
      <c r="L22" s="65">
        <v>1787</v>
      </c>
      <c r="M22" s="29">
        <v>1889.1428571428569</v>
      </c>
      <c r="N22" s="60">
        <v>2556</v>
      </c>
      <c r="P22" s="77"/>
      <c r="Q22" s="77"/>
    </row>
    <row r="23" spans="1:17" ht="15.75" x14ac:dyDescent="0.25">
      <c r="A23" s="340"/>
      <c r="B23" s="9" t="s">
        <v>23</v>
      </c>
      <c r="C23" s="36">
        <v>10848.974272358215</v>
      </c>
      <c r="D23" s="24">
        <v>130187.69126829857</v>
      </c>
      <c r="E23" s="25">
        <v>10930</v>
      </c>
      <c r="F23" s="26">
        <v>131162</v>
      </c>
      <c r="G23" s="23">
        <v>494</v>
      </c>
      <c r="H23" s="27">
        <v>5928</v>
      </c>
      <c r="I23" s="27">
        <v>441.16666666666669</v>
      </c>
      <c r="J23" s="28">
        <v>5294</v>
      </c>
      <c r="K23" s="67">
        <v>1674.0821917808219</v>
      </c>
      <c r="L23" s="65">
        <v>3629</v>
      </c>
      <c r="M23" s="29">
        <v>2513.1428571428569</v>
      </c>
      <c r="N23" s="60">
        <v>4361</v>
      </c>
      <c r="P23" s="77" t="s">
        <v>55</v>
      </c>
      <c r="Q23" s="77" t="s">
        <v>56</v>
      </c>
    </row>
    <row r="24" spans="1:17" ht="15.75" x14ac:dyDescent="0.25">
      <c r="A24" s="340"/>
      <c r="B24" s="9" t="s">
        <v>24</v>
      </c>
      <c r="C24" s="36">
        <v>5761.1543386143267</v>
      </c>
      <c r="D24" s="24">
        <v>69133.852063371916</v>
      </c>
      <c r="E24" s="25">
        <v>5562</v>
      </c>
      <c r="F24" s="26">
        <v>66745</v>
      </c>
      <c r="G24" s="23">
        <v>331.125</v>
      </c>
      <c r="H24" s="27">
        <v>3973.5</v>
      </c>
      <c r="I24" s="27">
        <v>302.25</v>
      </c>
      <c r="J24" s="28">
        <v>3627</v>
      </c>
      <c r="K24" s="67">
        <v>334.17741935483872</v>
      </c>
      <c r="L24" s="65">
        <v>999</v>
      </c>
      <c r="M24" s="29">
        <v>792</v>
      </c>
      <c r="N24" s="60">
        <v>1311</v>
      </c>
      <c r="P24" s="93">
        <f>C20+C32</f>
        <v>220415.02956218072</v>
      </c>
      <c r="Q24" s="93">
        <f>E20+E32</f>
        <v>202304</v>
      </c>
    </row>
    <row r="25" spans="1:17" ht="15.75" x14ac:dyDescent="0.25">
      <c r="A25" s="340"/>
      <c r="B25" s="9" t="s">
        <v>25</v>
      </c>
      <c r="C25" s="36">
        <v>7934.974759029581</v>
      </c>
      <c r="D25" s="24">
        <v>95219.697108354972</v>
      </c>
      <c r="E25" s="25">
        <v>7027</v>
      </c>
      <c r="F25" s="26">
        <v>84327</v>
      </c>
      <c r="G25" s="23">
        <v>343.5</v>
      </c>
      <c r="H25" s="27">
        <v>4122</v>
      </c>
      <c r="I25" s="27">
        <v>305.5</v>
      </c>
      <c r="J25" s="28">
        <v>3666</v>
      </c>
      <c r="K25" s="67">
        <v>125.72727272727273</v>
      </c>
      <c r="L25" s="65">
        <v>341</v>
      </c>
      <c r="M25" s="29">
        <v>183.42857142857144</v>
      </c>
      <c r="N25" s="60">
        <v>359</v>
      </c>
      <c r="P25" s="77"/>
      <c r="Q25" s="77"/>
    </row>
    <row r="26" spans="1:17" ht="15.75" x14ac:dyDescent="0.25">
      <c r="A26" s="340"/>
      <c r="B26" s="9" t="s">
        <v>26</v>
      </c>
      <c r="C26" s="36">
        <v>21678.17264147157</v>
      </c>
      <c r="D26" s="24">
        <v>260138.07169765886</v>
      </c>
      <c r="E26" s="25">
        <v>19988</v>
      </c>
      <c r="F26" s="26">
        <v>239857</v>
      </c>
      <c r="G26" s="23">
        <v>1175.75</v>
      </c>
      <c r="H26" s="27">
        <v>14109</v>
      </c>
      <c r="I26" s="27">
        <v>1046.8333333333333</v>
      </c>
      <c r="J26" s="28">
        <v>12562</v>
      </c>
      <c r="K26" s="67">
        <v>2673.1871657754009</v>
      </c>
      <c r="L26" s="65">
        <v>5038</v>
      </c>
      <c r="M26" s="29">
        <v>6653.1428571428569</v>
      </c>
      <c r="N26" s="60">
        <v>7681</v>
      </c>
      <c r="P26" s="77"/>
      <c r="Q26" s="77"/>
    </row>
    <row r="27" spans="1:17" ht="15.75" x14ac:dyDescent="0.25">
      <c r="A27" s="340"/>
      <c r="B27" s="9" t="s">
        <v>27</v>
      </c>
      <c r="C27" s="36">
        <v>10549.000393494229</v>
      </c>
      <c r="D27" s="24">
        <v>126588.00472193075</v>
      </c>
      <c r="E27" s="25">
        <v>9990</v>
      </c>
      <c r="F27" s="26">
        <v>119884</v>
      </c>
      <c r="G27" s="23">
        <v>553.75</v>
      </c>
      <c r="H27" s="27">
        <v>6645</v>
      </c>
      <c r="I27" s="27">
        <v>496.25</v>
      </c>
      <c r="J27" s="28">
        <v>5955</v>
      </c>
      <c r="K27" s="67">
        <v>847.46391752577324</v>
      </c>
      <c r="L27" s="65">
        <v>1491</v>
      </c>
      <c r="M27" s="29">
        <v>2158.2857142857142</v>
      </c>
      <c r="N27" s="60">
        <v>2517</v>
      </c>
      <c r="P27" s="77"/>
      <c r="Q27" s="77"/>
    </row>
    <row r="28" spans="1:17" ht="15.75" x14ac:dyDescent="0.25">
      <c r="A28" s="340"/>
      <c r="B28" s="9" t="s">
        <v>28</v>
      </c>
      <c r="C28" s="36">
        <v>5744.9636731001892</v>
      </c>
      <c r="D28" s="24">
        <v>68939.564077202274</v>
      </c>
      <c r="E28" s="25">
        <v>4893</v>
      </c>
      <c r="F28" s="26">
        <v>58718</v>
      </c>
      <c r="G28" s="23">
        <v>1712.125</v>
      </c>
      <c r="H28" s="27">
        <v>20545.5</v>
      </c>
      <c r="I28" s="27">
        <v>1387.25</v>
      </c>
      <c r="J28" s="28">
        <v>16647</v>
      </c>
      <c r="K28" s="67">
        <v>314</v>
      </c>
      <c r="L28" s="65">
        <v>492</v>
      </c>
      <c r="M28" s="29">
        <v>1318.2857142857142</v>
      </c>
      <c r="N28" s="60">
        <v>1280</v>
      </c>
      <c r="P28" s="77"/>
      <c r="Q28" s="77"/>
    </row>
    <row r="29" spans="1:17" ht="15.75" x14ac:dyDescent="0.25">
      <c r="A29" s="340"/>
      <c r="B29" s="9" t="s">
        <v>29</v>
      </c>
      <c r="C29" s="36">
        <v>14123.874781392095</v>
      </c>
      <c r="D29" s="24">
        <v>169486.49737670514</v>
      </c>
      <c r="E29" s="25">
        <v>12072</v>
      </c>
      <c r="F29" s="26">
        <v>144864</v>
      </c>
      <c r="G29" s="23">
        <v>1363.75</v>
      </c>
      <c r="H29" s="27">
        <v>16365</v>
      </c>
      <c r="I29" s="27">
        <v>1240.1666666666667</v>
      </c>
      <c r="J29" s="28">
        <v>14882</v>
      </c>
      <c r="K29" s="67">
        <v>1827.3220338983051</v>
      </c>
      <c r="L29" s="65">
        <v>2439</v>
      </c>
      <c r="M29" s="29">
        <v>3618.8571428571427</v>
      </c>
      <c r="N29" s="60">
        <v>3796</v>
      </c>
      <c r="P29" s="77"/>
      <c r="Q29" s="77"/>
    </row>
    <row r="30" spans="1:17" ht="15.75" x14ac:dyDescent="0.25">
      <c r="A30" s="340"/>
      <c r="B30" s="9" t="s">
        <v>30</v>
      </c>
      <c r="C30" s="36">
        <v>23239.293889299825</v>
      </c>
      <c r="D30" s="24">
        <v>278871.52667159791</v>
      </c>
      <c r="E30" s="25">
        <v>20005</v>
      </c>
      <c r="F30" s="26">
        <v>240065</v>
      </c>
      <c r="G30" s="23">
        <v>1154.75</v>
      </c>
      <c r="H30" s="27">
        <v>13857</v>
      </c>
      <c r="I30" s="27">
        <v>1065.1666666666667</v>
      </c>
      <c r="J30" s="28">
        <v>12782</v>
      </c>
      <c r="K30" s="67">
        <v>1983.905027932961</v>
      </c>
      <c r="L30" s="65">
        <v>3205</v>
      </c>
      <c r="M30" s="29">
        <v>4100.5714285714284</v>
      </c>
      <c r="N30" s="60">
        <v>5038</v>
      </c>
      <c r="P30" s="77"/>
      <c r="Q30" s="88">
        <f>((235004/8.5)*12)</f>
        <v>331770.3529411765</v>
      </c>
    </row>
    <row r="31" spans="1:17" ht="15.75" x14ac:dyDescent="0.25">
      <c r="A31" s="340"/>
      <c r="B31" s="9" t="s">
        <v>31</v>
      </c>
      <c r="C31" s="36">
        <v>14708.176880314679</v>
      </c>
      <c r="D31" s="24">
        <v>176498.12256377615</v>
      </c>
      <c r="E31" s="25">
        <v>12253</v>
      </c>
      <c r="F31" s="26">
        <v>147034</v>
      </c>
      <c r="G31" s="23">
        <v>924.875</v>
      </c>
      <c r="H31" s="27">
        <v>11098.5</v>
      </c>
      <c r="I31" s="27">
        <v>988</v>
      </c>
      <c r="J31" s="28">
        <v>11856</v>
      </c>
      <c r="K31" s="67">
        <v>1571.1592356687897</v>
      </c>
      <c r="L31" s="65">
        <v>2791</v>
      </c>
      <c r="M31" s="29">
        <v>2718.8571428571431</v>
      </c>
      <c r="N31" s="60">
        <v>3564</v>
      </c>
      <c r="P31" s="77"/>
      <c r="Q31" s="77"/>
    </row>
    <row r="32" spans="1:17" ht="16.5" thickBot="1" x14ac:dyDescent="0.3">
      <c r="A32" s="341"/>
      <c r="B32" s="8" t="s">
        <v>32</v>
      </c>
      <c r="C32" s="30">
        <f>SUM(C21:C31)</f>
        <v>140602.11466522168</v>
      </c>
      <c r="D32" s="31">
        <f>C32*12</f>
        <v>1687225.3759826603</v>
      </c>
      <c r="E32" s="32">
        <f t="shared" ref="E32:N32" si="2">SUM(E21:E31)</f>
        <v>128600</v>
      </c>
      <c r="F32" s="33">
        <f t="shared" si="2"/>
        <v>1543211</v>
      </c>
      <c r="G32" s="30">
        <f t="shared" si="2"/>
        <v>9588.5</v>
      </c>
      <c r="H32" s="32">
        <f t="shared" si="2"/>
        <v>115062</v>
      </c>
      <c r="I32" s="32">
        <f t="shared" si="2"/>
        <v>8651.1666666666679</v>
      </c>
      <c r="J32" s="33">
        <f t="shared" si="2"/>
        <v>103814</v>
      </c>
      <c r="K32" s="81">
        <f t="shared" si="2"/>
        <v>14395.357597997496</v>
      </c>
      <c r="L32" s="82">
        <f t="shared" si="2"/>
        <v>25970</v>
      </c>
      <c r="M32" s="82">
        <f t="shared" si="2"/>
        <v>30989.142857142855</v>
      </c>
      <c r="N32" s="83">
        <f t="shared" si="2"/>
        <v>38619</v>
      </c>
      <c r="P32" s="77"/>
      <c r="Q32" s="77"/>
    </row>
    <row r="33" spans="1:17" ht="15.75" x14ac:dyDescent="0.25">
      <c r="A33" s="324" t="s">
        <v>47</v>
      </c>
      <c r="B33" s="325"/>
      <c r="C33" s="37"/>
      <c r="D33" s="38"/>
      <c r="E33" s="38"/>
      <c r="F33" s="39"/>
      <c r="G33" s="40"/>
      <c r="H33" s="41"/>
      <c r="I33" s="41"/>
      <c r="J33" s="78"/>
      <c r="K33" s="85">
        <v>40</v>
      </c>
      <c r="L33" s="22">
        <v>12</v>
      </c>
      <c r="M33" s="22">
        <v>65</v>
      </c>
      <c r="N33" s="42">
        <v>59</v>
      </c>
      <c r="P33" s="77"/>
      <c r="Q33" s="77"/>
    </row>
    <row r="34" spans="1:17" s="11" customFormat="1" ht="15.75" x14ac:dyDescent="0.25">
      <c r="A34" s="326" t="s">
        <v>46</v>
      </c>
      <c r="B34" s="330"/>
      <c r="C34" s="69"/>
      <c r="D34" s="70"/>
      <c r="E34" s="70"/>
      <c r="F34" s="71"/>
      <c r="G34" s="72"/>
      <c r="H34" s="73"/>
      <c r="I34" s="73"/>
      <c r="J34" s="79"/>
      <c r="K34" s="35">
        <v>5</v>
      </c>
      <c r="L34" s="59"/>
      <c r="M34" s="29">
        <v>5</v>
      </c>
      <c r="N34" s="56"/>
      <c r="P34" s="77"/>
      <c r="Q34" s="77"/>
    </row>
    <row r="35" spans="1:17" ht="15.75" x14ac:dyDescent="0.25">
      <c r="A35" s="326" t="s">
        <v>33</v>
      </c>
      <c r="B35" s="327"/>
      <c r="C35" s="43"/>
      <c r="D35" s="44"/>
      <c r="E35" s="44"/>
      <c r="F35" s="45"/>
      <c r="G35" s="46"/>
      <c r="H35" s="47"/>
      <c r="I35" s="47"/>
      <c r="J35" s="80"/>
      <c r="K35" s="86">
        <v>340</v>
      </c>
      <c r="L35" s="29">
        <v>510</v>
      </c>
      <c r="M35" s="29">
        <f>910*2</f>
        <v>1820</v>
      </c>
      <c r="N35" s="60">
        <v>1698</v>
      </c>
      <c r="P35" s="77"/>
      <c r="Q35" s="77"/>
    </row>
    <row r="36" spans="1:17" ht="15.75" x14ac:dyDescent="0.25">
      <c r="A36" s="328" t="s">
        <v>34</v>
      </c>
      <c r="B36" s="329"/>
      <c r="C36" s="43"/>
      <c r="D36" s="44"/>
      <c r="E36" s="44"/>
      <c r="F36" s="45"/>
      <c r="G36" s="46"/>
      <c r="H36" s="47"/>
      <c r="I36" s="47"/>
      <c r="J36" s="80"/>
      <c r="K36" s="86">
        <v>136</v>
      </c>
      <c r="L36" s="29">
        <v>144</v>
      </c>
      <c r="M36" s="29">
        <v>132</v>
      </c>
      <c r="N36" s="48">
        <v>217</v>
      </c>
      <c r="P36" s="77"/>
      <c r="Q36" s="77"/>
    </row>
    <row r="37" spans="1:17" s="11" customFormat="1" ht="15.75" x14ac:dyDescent="0.25">
      <c r="A37" s="335" t="s">
        <v>43</v>
      </c>
      <c r="B37" s="336"/>
      <c r="C37" s="43"/>
      <c r="D37" s="44"/>
      <c r="E37" s="44"/>
      <c r="F37" s="45"/>
      <c r="G37" s="46"/>
      <c r="H37" s="47"/>
      <c r="I37" s="47"/>
      <c r="J37" s="80"/>
      <c r="K37" s="46"/>
      <c r="L37" s="59"/>
      <c r="M37" s="29">
        <v>153</v>
      </c>
      <c r="N37" s="56"/>
      <c r="P37" s="77"/>
      <c r="Q37" s="77"/>
    </row>
    <row r="38" spans="1:17" s="11" customFormat="1" ht="15.75" x14ac:dyDescent="0.25">
      <c r="A38" s="335" t="s">
        <v>44</v>
      </c>
      <c r="B38" s="336"/>
      <c r="C38" s="43"/>
      <c r="D38" s="44"/>
      <c r="E38" s="44"/>
      <c r="F38" s="45"/>
      <c r="G38" s="46"/>
      <c r="H38" s="47"/>
      <c r="I38" s="47"/>
      <c r="J38" s="80"/>
      <c r="K38" s="87">
        <f>252+74</f>
        <v>326</v>
      </c>
      <c r="L38" s="59"/>
      <c r="M38" s="58">
        <f>252+74</f>
        <v>326</v>
      </c>
      <c r="N38" s="56"/>
      <c r="O38" s="57"/>
      <c r="P38" s="77"/>
      <c r="Q38" s="77"/>
    </row>
    <row r="39" spans="1:17" s="11" customFormat="1" ht="15.75" x14ac:dyDescent="0.25">
      <c r="A39" s="328" t="s">
        <v>45</v>
      </c>
      <c r="B39" s="329"/>
      <c r="C39" s="43"/>
      <c r="D39" s="44"/>
      <c r="E39" s="44"/>
      <c r="F39" s="45"/>
      <c r="G39" s="46"/>
      <c r="H39" s="47"/>
      <c r="I39" s="47"/>
      <c r="J39" s="80"/>
      <c r="K39" s="46"/>
      <c r="L39" s="59"/>
      <c r="M39" s="58">
        <v>1078</v>
      </c>
      <c r="N39" s="60">
        <v>746</v>
      </c>
      <c r="O39" s="57"/>
      <c r="P39" s="77"/>
      <c r="Q39" s="77"/>
    </row>
    <row r="40" spans="1:17" s="11" customFormat="1" ht="15.75" x14ac:dyDescent="0.25">
      <c r="A40" s="328" t="s">
        <v>49</v>
      </c>
      <c r="B40" s="329"/>
      <c r="C40" s="43"/>
      <c r="D40" s="44"/>
      <c r="E40" s="44"/>
      <c r="F40" s="45"/>
      <c r="G40" s="46"/>
      <c r="H40" s="47"/>
      <c r="I40" s="47"/>
      <c r="J40" s="80"/>
      <c r="K40" s="46"/>
      <c r="L40" s="47"/>
      <c r="M40" s="29">
        <v>20</v>
      </c>
      <c r="N40" s="48">
        <v>14</v>
      </c>
      <c r="P40" s="77"/>
      <c r="Q40" s="77"/>
    </row>
    <row r="41" spans="1:17" ht="15.75" x14ac:dyDescent="0.25">
      <c r="A41" s="326" t="s">
        <v>40</v>
      </c>
      <c r="B41" s="327"/>
      <c r="C41" s="43"/>
      <c r="D41" s="44"/>
      <c r="E41" s="44"/>
      <c r="F41" s="45"/>
      <c r="G41" s="46"/>
      <c r="H41" s="47"/>
      <c r="I41" s="47"/>
      <c r="J41" s="80"/>
      <c r="K41" s="86">
        <v>25908</v>
      </c>
      <c r="L41" s="29">
        <v>22853</v>
      </c>
      <c r="M41" s="29">
        <v>25908</v>
      </c>
      <c r="N41" s="28">
        <v>22853</v>
      </c>
      <c r="P41" s="77"/>
      <c r="Q41" s="77"/>
    </row>
    <row r="42" spans="1:17" s="11" customFormat="1" ht="15.75" customHeight="1" x14ac:dyDescent="0.25">
      <c r="A42" s="321" t="s">
        <v>50</v>
      </c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3"/>
      <c r="O42" s="57"/>
      <c r="P42" s="77"/>
      <c r="Q42" s="77"/>
    </row>
    <row r="43" spans="1:17" s="11" customFormat="1" ht="15.75" x14ac:dyDescent="0.25">
      <c r="A43" s="337" t="s">
        <v>41</v>
      </c>
      <c r="B43" s="337"/>
      <c r="C43" s="44"/>
      <c r="D43" s="44"/>
      <c r="E43" s="44"/>
      <c r="F43" s="44"/>
      <c r="G43" s="47"/>
      <c r="H43" s="47"/>
      <c r="I43" s="47"/>
      <c r="J43" s="47"/>
      <c r="K43" s="47"/>
      <c r="L43" s="47"/>
      <c r="M43" s="29">
        <f>330056-M34-M35-M33-M32-M20-M36-M37-M38-M40</f>
        <v>279727</v>
      </c>
      <c r="N43" s="29">
        <f>336252-N34-N35-N33-N32-N20-N36-N37-N38-N40</f>
        <v>277591</v>
      </c>
      <c r="P43" s="77"/>
      <c r="Q43" s="77"/>
    </row>
    <row r="44" spans="1:17" ht="15.75" x14ac:dyDescent="0.25">
      <c r="A44" s="337" t="s">
        <v>42</v>
      </c>
      <c r="B44" s="337"/>
      <c r="C44" s="44"/>
      <c r="D44" s="44"/>
      <c r="E44" s="44"/>
      <c r="F44" s="44"/>
      <c r="G44" s="47"/>
      <c r="H44" s="47"/>
      <c r="I44" s="47"/>
      <c r="J44" s="47"/>
      <c r="K44" s="29">
        <v>23403</v>
      </c>
      <c r="L44" s="29">
        <v>23015</v>
      </c>
      <c r="M44" s="29">
        <v>23403</v>
      </c>
      <c r="N44" s="27">
        <v>23015</v>
      </c>
      <c r="P44" s="77"/>
      <c r="Q44" s="77"/>
    </row>
    <row r="45" spans="1:17" s="11" customFormat="1" ht="15.75" x14ac:dyDescent="0.25">
      <c r="A45" s="320" t="s">
        <v>53</v>
      </c>
      <c r="B45" s="320"/>
      <c r="C45" s="44"/>
      <c r="D45" s="44"/>
      <c r="E45" s="44"/>
      <c r="F45" s="44"/>
      <c r="G45" s="47"/>
      <c r="H45" s="47"/>
      <c r="I45" s="47"/>
      <c r="J45" s="47"/>
      <c r="K45" s="29">
        <v>73897</v>
      </c>
      <c r="L45" s="29">
        <v>72629</v>
      </c>
      <c r="M45" s="29">
        <v>73897</v>
      </c>
      <c r="N45" s="27">
        <v>72629</v>
      </c>
      <c r="P45" s="77"/>
      <c r="Q45" s="77"/>
    </row>
    <row r="46" spans="1:17" s="11" customFormat="1" ht="15.75" x14ac:dyDescent="0.25">
      <c r="A46" s="319" t="s">
        <v>51</v>
      </c>
      <c r="B46" s="319"/>
      <c r="C46" s="44"/>
      <c r="D46" s="44"/>
      <c r="E46" s="44"/>
      <c r="F46" s="44"/>
      <c r="G46" s="47"/>
      <c r="H46" s="47"/>
      <c r="I46" s="47"/>
      <c r="J46" s="47"/>
      <c r="K46" s="47"/>
      <c r="L46" s="59"/>
      <c r="M46" s="58">
        <v>14481</v>
      </c>
      <c r="N46" s="62">
        <v>12636</v>
      </c>
      <c r="O46" s="57"/>
      <c r="P46" s="77"/>
      <c r="Q46" s="77"/>
    </row>
    <row r="47" spans="1:17" ht="16.5" thickBot="1" x14ac:dyDescent="0.3">
      <c r="B47" s="89" t="s">
        <v>54</v>
      </c>
      <c r="C47" s="84">
        <f>C20+C32+C33+C35+C37+C38+C39+C36+C40+C41+C44+C43+C46</f>
        <v>220415.02956218072</v>
      </c>
      <c r="D47" s="84">
        <f t="shared" ref="D47:J47" si="3">D20+D32+D33+D35+D37+D38+D39+D36+D40+D41+D44+D43</f>
        <v>2644980.3547461685</v>
      </c>
      <c r="E47" s="84">
        <f t="shared" si="3"/>
        <v>202304</v>
      </c>
      <c r="F47" s="84">
        <f t="shared" si="3"/>
        <v>2427648</v>
      </c>
      <c r="G47" s="84">
        <f t="shared" si="3"/>
        <v>16203.5</v>
      </c>
      <c r="H47" s="84">
        <f t="shared" si="3"/>
        <v>194442</v>
      </c>
      <c r="I47" s="84">
        <f t="shared" si="3"/>
        <v>14385.333333333336</v>
      </c>
      <c r="J47" s="84">
        <f t="shared" si="3"/>
        <v>172624</v>
      </c>
      <c r="K47" s="90">
        <f>(17371+K37+K38+K39+K40+K41+K44+K43)</f>
        <v>67008</v>
      </c>
      <c r="L47" s="91">
        <f>34780+L37+L38+L39+L40+L41+L44+L43</f>
        <v>80648</v>
      </c>
      <c r="M47" s="84">
        <f>M20+M32+M33+M35+M37+M38+M39+M36+M40+M41+M44+M43+M34</f>
        <v>380445</v>
      </c>
      <c r="N47" s="84">
        <f>N20+N32+N33+N35+N37+N38+N39+N36+N40+N41+N44+N43</f>
        <v>382866</v>
      </c>
      <c r="P47" s="88"/>
      <c r="Q47" s="77"/>
    </row>
    <row r="48" spans="1:17" x14ac:dyDescent="0.25">
      <c r="K48" s="77"/>
      <c r="M48" s="77"/>
      <c r="P48" s="77"/>
      <c r="Q48" s="77"/>
    </row>
    <row r="49" spans="1:6" x14ac:dyDescent="0.25">
      <c r="A49" s="331" t="s">
        <v>52</v>
      </c>
      <c r="B49" s="331"/>
      <c r="C49" s="331"/>
      <c r="D49" s="331"/>
      <c r="E49" s="331"/>
      <c r="F49" s="92"/>
    </row>
  </sheetData>
  <mergeCells count="27">
    <mergeCell ref="A49:E49"/>
    <mergeCell ref="A1:M1"/>
    <mergeCell ref="A2:M2"/>
    <mergeCell ref="M4:N4"/>
    <mergeCell ref="C4:F4"/>
    <mergeCell ref="A40:B40"/>
    <mergeCell ref="A37:B37"/>
    <mergeCell ref="A38:B38"/>
    <mergeCell ref="A39:B39"/>
    <mergeCell ref="A44:B44"/>
    <mergeCell ref="K4:L4"/>
    <mergeCell ref="C5:D5"/>
    <mergeCell ref="E5:F5"/>
    <mergeCell ref="A43:B43"/>
    <mergeCell ref="A7:A20"/>
    <mergeCell ref="A21:A32"/>
    <mergeCell ref="G5:H5"/>
    <mergeCell ref="I5:J5"/>
    <mergeCell ref="G4:J4"/>
    <mergeCell ref="A46:B46"/>
    <mergeCell ref="A45:B45"/>
    <mergeCell ref="A42:N42"/>
    <mergeCell ref="A33:B33"/>
    <mergeCell ref="A35:B35"/>
    <mergeCell ref="A36:B36"/>
    <mergeCell ref="A41:B41"/>
    <mergeCell ref="A34:B34"/>
  </mergeCells>
  <pageMargins left="0.25" right="0.25" top="0.75" bottom="0.75" header="0.3" footer="0.3"/>
  <pageSetup scale="60" fitToWidth="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C1" sqref="C1"/>
    </sheetView>
  </sheetViews>
  <sheetFormatPr defaultRowHeight="15" x14ac:dyDescent="0.25"/>
  <cols>
    <col min="1" max="1" width="149" customWidth="1"/>
  </cols>
  <sheetData>
    <row r="1" spans="1:1" ht="409.5" customHeight="1" x14ac:dyDescent="0.25">
      <c r="A1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2016</vt:lpstr>
      <vt:lpstr>Sheet1</vt:lpstr>
      <vt:lpstr>Old v2 - 2016</vt:lpstr>
      <vt:lpstr>old - 2016</vt:lpstr>
      <vt:lpstr>2015</vt:lpstr>
      <vt:lpstr>'2016'!Print_Area</vt:lpstr>
      <vt:lpstr>'old - 2016'!Print_Area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2017-03-01T17:23:55Z</dcterms:modified>
</cp:coreProperties>
</file>